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9720" windowHeight="7116" firstSheet="3" activeTab="3"/>
  </bookViews>
  <sheets>
    <sheet name="Дод_1" sheetId="1" state="hidden" r:id="rId1"/>
    <sheet name="Дод_2" sheetId="2" state="hidden" r:id="rId2"/>
    <sheet name="План " sheetId="3" state="hidden" r:id="rId3"/>
    <sheet name="2016" sheetId="4" r:id="rId4"/>
    <sheet name="итоги" sheetId="5" state="hidden" r:id="rId5"/>
    <sheet name="Розшифр. факт" sheetId="6" state="hidden" r:id="rId6"/>
  </sheets>
  <definedNames>
    <definedName name="_xlnm.Print_Titles" localSheetId="5">'Розшифр. факт'!$14:$15</definedName>
    <definedName name="_xlnm.Print_Area" localSheetId="5">'Розшифр. факт'!$A$1:$J$88</definedName>
  </definedNames>
  <calcPr fullCalcOnLoad="1"/>
</workbook>
</file>

<file path=xl/comments3.xml><?xml version="1.0" encoding="utf-8"?>
<comments xmlns="http://schemas.openxmlformats.org/spreadsheetml/2006/main">
  <authors>
    <author>Гордиенко Екатерина Александровна</author>
  </authors>
  <commentList>
    <comment ref="E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F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G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H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I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J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K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L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M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N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O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P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</commentList>
</comments>
</file>

<file path=xl/comments5.xml><?xml version="1.0" encoding="utf-8"?>
<comments xmlns="http://schemas.openxmlformats.org/spreadsheetml/2006/main">
  <authors>
    <author>Гордиенко Екатерина Александровна</author>
  </authors>
  <commentList>
    <comment ref="R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S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T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U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V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W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X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  <comment ref="Y5" authorId="0">
      <text>
        <r>
          <rPr>
            <b/>
            <sz val="9"/>
            <rFont val="Tahoma"/>
            <family val="2"/>
          </rPr>
          <t xml:space="preserve">Для порівняння </t>
        </r>
      </text>
    </comment>
  </commentList>
</comments>
</file>

<file path=xl/comments6.xml><?xml version="1.0" encoding="utf-8"?>
<comments xmlns="http://schemas.openxmlformats.org/spreadsheetml/2006/main">
  <authors>
    <author>Гордиенко Екатерина Александровна</author>
    <author>Автор</author>
  </authors>
  <commentList>
    <comment ref="E77" authorId="0">
      <text>
        <r>
          <rPr>
            <b/>
            <sz val="9"/>
            <rFont val="Tahoma"/>
            <family val="2"/>
          </rPr>
          <t>Затраты по арт мастеру + 372</t>
        </r>
      </text>
    </comment>
    <comment ref="D77" authorId="0">
      <text>
        <r>
          <rPr>
            <b/>
            <sz val="9"/>
            <rFont val="Tahoma"/>
            <family val="2"/>
          </rPr>
          <t>Застраты с 372 сч.</t>
        </r>
      </text>
    </comment>
    <comment ref="F77" authorId="0">
      <text>
        <r>
          <rPr>
            <b/>
            <sz val="9"/>
            <rFont val="Tahoma"/>
            <family val="2"/>
          </rPr>
          <t>Затраты по  372</t>
        </r>
      </text>
    </comment>
    <comment ref="G77" authorId="0">
      <text>
        <r>
          <rPr>
            <b/>
            <sz val="9"/>
            <rFont val="Tahoma"/>
            <family val="2"/>
          </rPr>
          <t>Затраты по  372</t>
        </r>
      </text>
    </comment>
    <comment ref="H77" authorId="0">
      <text>
        <r>
          <rPr>
            <b/>
            <sz val="9"/>
            <rFont val="Tahoma"/>
            <family val="2"/>
          </rPr>
          <t xml:space="preserve">Затраты по  372+
5000 юр.послуга 6852
</t>
        </r>
      </text>
    </comment>
    <comment ref="K77" authorId="1">
      <text>
        <r>
          <rPr>
            <sz val="8"/>
            <rFont val="Tahoma"/>
            <family val="2"/>
          </rPr>
          <t xml:space="preserve">затраты по 372+6852
</t>
        </r>
      </text>
    </comment>
    <comment ref="L46" authorId="1">
      <text>
        <r>
          <rPr>
            <sz val="8"/>
            <rFont val="Tahoma"/>
            <family val="2"/>
          </rPr>
          <t>укрдержбудэкспертиза,</t>
        </r>
      </text>
    </comment>
    <comment ref="L77" authorId="1">
      <text>
        <r>
          <rPr>
            <sz val="8"/>
            <rFont val="Tahoma"/>
            <family val="2"/>
          </rPr>
          <t xml:space="preserve">затраты по 372+6852
</t>
        </r>
      </text>
    </comment>
    <comment ref="M77" authorId="1">
      <text>
        <r>
          <rPr>
            <sz val="8"/>
            <rFont val="Tahoma"/>
            <family val="2"/>
          </rPr>
          <t xml:space="preserve">затраты по 372+6852
</t>
        </r>
      </text>
    </comment>
    <comment ref="N77" authorId="1">
      <text>
        <r>
          <rPr>
            <sz val="8"/>
            <rFont val="Tahoma"/>
            <family val="2"/>
          </rPr>
          <t xml:space="preserve">затраты по 372+6852
</t>
        </r>
      </text>
    </comment>
    <comment ref="O28" authorId="1">
      <text>
        <r>
          <rPr>
            <sz val="8"/>
            <rFont val="Tahoma"/>
            <family val="2"/>
          </rPr>
          <t xml:space="preserve">водолазные работы ГИДРОТЕХНИК ПЛЮС
</t>
        </r>
      </text>
    </comment>
    <comment ref="O43" authorId="1">
      <text>
        <r>
          <rPr>
            <sz val="8"/>
            <rFont val="Tahoma"/>
            <family val="2"/>
          </rPr>
          <t xml:space="preserve">дератизація(травля мышей)ТОВ Медична дезинфекция
</t>
        </r>
      </text>
    </comment>
    <comment ref="O47" authorId="1">
      <text>
        <r>
          <rPr>
            <sz val="8"/>
            <rFont val="Tahoma"/>
            <family val="2"/>
          </rPr>
          <t>контроль  за соблюд. нормат. загряз. Веществ ТОВ ВИРКО.+
Профілактичні випробовування ел.уст.ТОВ "Райагроременергомонтаж"</t>
        </r>
      </text>
    </comment>
    <comment ref="O77" authorId="1">
      <text>
        <r>
          <rPr>
            <sz val="8"/>
            <rFont val="Tahoma"/>
            <family val="2"/>
          </rPr>
          <t xml:space="preserve">затраты по 372+6852
</t>
        </r>
      </text>
    </comment>
  </commentList>
</comments>
</file>

<file path=xl/sharedStrings.xml><?xml version="1.0" encoding="utf-8"?>
<sst xmlns="http://schemas.openxmlformats.org/spreadsheetml/2006/main" count="670" uniqueCount="282">
  <si>
    <t>№ з/п</t>
  </si>
  <si>
    <t>1.1</t>
  </si>
  <si>
    <t>1.2</t>
  </si>
  <si>
    <t>1.3</t>
  </si>
  <si>
    <t>1.4</t>
  </si>
  <si>
    <t>3</t>
  </si>
  <si>
    <t>7</t>
  </si>
  <si>
    <t>8</t>
  </si>
  <si>
    <t>9</t>
  </si>
  <si>
    <t>10</t>
  </si>
  <si>
    <t>10.1</t>
  </si>
  <si>
    <t>11</t>
  </si>
  <si>
    <t>11.1</t>
  </si>
  <si>
    <t>11.2</t>
  </si>
  <si>
    <t>Н.П.Богомольна</t>
  </si>
  <si>
    <t>без ПДВ</t>
  </si>
  <si>
    <t>1</t>
  </si>
  <si>
    <t>1.1.1</t>
  </si>
  <si>
    <t>1.1.2</t>
  </si>
  <si>
    <t>1.1.3</t>
  </si>
  <si>
    <t>1.3.1</t>
  </si>
  <si>
    <t>1.3.2</t>
  </si>
  <si>
    <t>1.3.3</t>
  </si>
  <si>
    <t>2</t>
  </si>
  <si>
    <t>4</t>
  </si>
  <si>
    <t>5</t>
  </si>
  <si>
    <t>6</t>
  </si>
  <si>
    <t>7.1</t>
  </si>
  <si>
    <t>7.2</t>
  </si>
  <si>
    <t>прямі матеріальні витрати, у тому числі:</t>
  </si>
  <si>
    <t>прямі витрати на оплату праці</t>
  </si>
  <si>
    <t>інші прямі витрати, у тому числі:</t>
  </si>
  <si>
    <t>загальновиробничі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</si>
  <si>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</si>
  <si>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</si>
  <si>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</si>
  <si>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</si>
  <si>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податок на прибуток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</si>
  <si>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</si>
  <si>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</si>
  <si>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</si>
  <si>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</t>
  </si>
  <si>
    <t>грн/куб.м</t>
  </si>
  <si>
    <t>(ініціали, прізвище)</t>
  </si>
  <si>
    <t>Складові загальновиробничих витрат</t>
  </si>
  <si>
    <t>сума витрат, усього, тис. грн</t>
  </si>
  <si>
    <t>Загальновиробничі витрати з централізованого водопостачання та водовідведення, усього</t>
  </si>
  <si>
    <t>Витрати на управління виробництвом:</t>
  </si>
  <si>
    <t>Амортизація основних засобів загальновиробничого (цехового, дільничного, лінійного) призначення</t>
  </si>
  <si>
    <t>Витрати на удосконалення технології та організації виробництва</t>
  </si>
  <si>
    <t>8.1</t>
  </si>
  <si>
    <t>8.2</t>
  </si>
  <si>
    <t>Витрати на обслуговування виробничого процесу:</t>
  </si>
  <si>
    <t>витрати на ПММ:</t>
  </si>
  <si>
    <t>Витрати на охорону праці, дотримання вимог техніки безпеки і охорону навколишнього природного середовища</t>
  </si>
  <si>
    <t>10.2</t>
  </si>
  <si>
    <t>10.3</t>
  </si>
  <si>
    <t>10.4</t>
  </si>
  <si>
    <t>Витрати на охорону навколишнього природного середовища:</t>
  </si>
  <si>
    <t>12</t>
  </si>
  <si>
    <t>12.1</t>
  </si>
  <si>
    <t>12.2</t>
  </si>
  <si>
    <t>Інші витрати загальновиробничого призначення з централізованого водопостачання та водовідведення</t>
  </si>
  <si>
    <t>Складові адміністративних витрат</t>
  </si>
  <si>
    <t>Адміністративні витрати з централізованого водопостачання та водовідведення, усього</t>
  </si>
  <si>
    <t>Єдиний внесок на загальнообов'язкове державне соціальне страхування працівників</t>
  </si>
  <si>
    <t>Витрати на придбання періодичних професійних видань</t>
  </si>
  <si>
    <t>Амортизація основних засобів, інших необоротних матеріальних і нематеріальних активів загальногосподарського використання, визначена відповідно до вимог Податкового кодексу України</t>
  </si>
  <si>
    <t>Витрати на утримання основних засобів, необоротних матеріальних і нематеріальних активів адміністративного використання:</t>
  </si>
  <si>
    <t>Витрати на придбання паливно-мастильних матеріалів для потреб апарату управління підприємством:</t>
  </si>
  <si>
    <t>Витрати на збут послуг з централізованого водопостачання та водовідведення, усього</t>
  </si>
  <si>
    <t>2.1</t>
  </si>
  <si>
    <t>2.2</t>
  </si>
  <si>
    <t>2.3</t>
  </si>
  <si>
    <t>2.4</t>
  </si>
  <si>
    <t xml:space="preserve">     витрати на оплату праці</t>
  </si>
  <si>
    <t xml:space="preserve">     єдиний внесок на загальнообов'язкове державне соціальне страхування працівників</t>
  </si>
  <si>
    <t xml:space="preserve">     єдиний внесок на загальнообов'язкове  державне соціальне страхування   працівників</t>
  </si>
  <si>
    <t xml:space="preserve">     витрати на оплату службових відряджень</t>
  </si>
  <si>
    <t>Витрати на оплату праці апарату управління підприємством та іншого адміністративного персоналу</t>
  </si>
  <si>
    <t>Витрати на службові відрядження</t>
  </si>
  <si>
    <t>Витрати на придбання канцелярських товарів</t>
  </si>
  <si>
    <t xml:space="preserve">     витрати на оплату праці загальновиробничого персоналу</t>
  </si>
  <si>
    <t xml:space="preserve">     витрати на здійснення технологічного контролю за виробничими процесами і якістю водопостачання та водовідведення</t>
  </si>
  <si>
    <t xml:space="preserve">     бензин</t>
  </si>
  <si>
    <t xml:space="preserve">     дизельне паливо</t>
  </si>
  <si>
    <t>Витрати на оплату послуг спеціалізованих підприємств:</t>
  </si>
  <si>
    <t xml:space="preserve">     проведення планових перевірок стану обладнання</t>
  </si>
  <si>
    <t xml:space="preserve">     виконання регламентних робіт</t>
  </si>
  <si>
    <t>Витрати на сплату податків, зборів</t>
  </si>
  <si>
    <t xml:space="preserve">     витрати на страхування майна</t>
  </si>
  <si>
    <t xml:space="preserve">     електроенергія</t>
  </si>
  <si>
    <t xml:space="preserve">     інші прямі витрати</t>
  </si>
  <si>
    <t xml:space="preserve">     масла</t>
  </si>
  <si>
    <t xml:space="preserve">      масла</t>
  </si>
  <si>
    <t>Складові  витрат на збут</t>
  </si>
  <si>
    <t xml:space="preserve">     медичне обстеження працівників</t>
  </si>
  <si>
    <t xml:space="preserve">     страхування  ДПД</t>
  </si>
  <si>
    <t xml:space="preserve">     атестація</t>
  </si>
  <si>
    <t xml:space="preserve">     навчання фахівців</t>
  </si>
  <si>
    <t xml:space="preserve">     вивезення осаду</t>
  </si>
  <si>
    <t xml:space="preserve">     інші витрати на охорону навколишнього середовища</t>
  </si>
  <si>
    <t xml:space="preserve">     екологічний податок</t>
  </si>
  <si>
    <t xml:space="preserve">     податок на землю</t>
  </si>
  <si>
    <t xml:space="preserve">     транспортні витрати</t>
  </si>
  <si>
    <t xml:space="preserve">     інше</t>
  </si>
  <si>
    <t xml:space="preserve">     спецодяг та засоби індивідцального захисту</t>
  </si>
  <si>
    <t xml:space="preserve">     спецхарчування</t>
  </si>
  <si>
    <t xml:space="preserve">     питна вода</t>
  </si>
  <si>
    <t xml:space="preserve">     отримання дозвільних документів</t>
  </si>
  <si>
    <t>Додаток 1</t>
  </si>
  <si>
    <t>Заява про встановлення тарифів</t>
  </si>
  <si>
    <t>Товариство з обмеженою відповідальністю "Біологічні очисні споруди" Миколаївська область, м. Вознесенськ, вул. Жовтневої революції,287</t>
  </si>
  <si>
    <t>(повне найменування,місцезнаходження суб'єкта господарювання)</t>
  </si>
  <si>
    <t>Ліцензія 21.02 Централізоване водовідведення, Серія АЕ , № 186432, видана 01.07.2013 Миколаївською обласною державною адміністрацією</t>
  </si>
  <si>
    <t>(назва,серія,номер та дата видачі ліцензії(й) суб'єкта господарювання)</t>
  </si>
  <si>
    <t xml:space="preserve">Прошу розглянути заяву та додані до неї матеріали щодо встановлення тарифів з </t>
  </si>
  <si>
    <t>централізованого водовідведення</t>
  </si>
  <si>
    <t>(види ліцензованої діяльності)</t>
  </si>
  <si>
    <t>Заява та документи,що додаються до неї, містять достовірну інформацію.</t>
  </si>
  <si>
    <t>До заяви додаються:</t>
  </si>
  <si>
    <t xml:space="preserve">     Копію ліцензії на провадження ліцензованої діяльності;</t>
  </si>
  <si>
    <t xml:space="preserve">     Балансова схема водовідведення ТОВ "БОС" за 2011-2013рр., план 2014р. В тис.м3.;</t>
  </si>
  <si>
    <t xml:space="preserve">     Схема каналізаційних колекторів ТОВ "БОС";</t>
  </si>
  <si>
    <t xml:space="preserve">     Забеспеченність обліком споруд ТОВ "БОС";</t>
  </si>
  <si>
    <t xml:space="preserve">     Копія технічного регламенту ТОВ "БОС";</t>
  </si>
  <si>
    <t xml:space="preserve">     Копія рішення Про визначення виконавців житлово-комунальних послуг міста Вознесенська.</t>
  </si>
  <si>
    <t xml:space="preserve">          форма № 1 "Баланс (Звіт про фінансовий результат)" за 2013 р. та II квартал 2014 р.;</t>
  </si>
  <si>
    <t xml:space="preserve">          форма № 1 - ПВ (квартальна) "Звіт з праці" за 2013р.та II квартал 2014 р.;</t>
  </si>
  <si>
    <t xml:space="preserve">          форма №1 - підприємство (річна) "Структурне обстеження підприємства" за 2013 р.;</t>
  </si>
  <si>
    <t xml:space="preserve">          форма № 2 - інвестиції (річна) "Капітальні інвестиції,вибуття й амортизація активів" за 2013 р. та форма № 2 - інвестиції (квартальна) "Капітальні інсвестиції" за II квартал 2014 р.;</t>
  </si>
  <si>
    <t xml:space="preserve">          форма № 1 - каналізація (річна) "Звіт про роботу каналізації (окремої каналізаційної мережі)" за 2013р.</t>
  </si>
  <si>
    <t xml:space="preserve">     Копія рішення Про затвердження норм водопостачання та водовідведення для населення м. Вознесенська;</t>
  </si>
  <si>
    <t xml:space="preserve">     Річний баланс ліцензованої діяльності з водопостачання та водовідведення ТОВ "БОС";</t>
  </si>
  <si>
    <t xml:space="preserve">     Прогнозні норми питомих витрат паливно - енергетичних ресурсів (ПЕР) ТОВ "БОС";</t>
  </si>
  <si>
    <t xml:space="preserve">     Додаток 2: Зміст документів, що подаються для встановлення тарифів на централізоване водовідведення на 2014 рік.;</t>
  </si>
  <si>
    <t xml:space="preserve">     Додаток 3: Річний план ліцензійованої діяльності з централізованого водопостачання та водовідведення ТОВ "БОС" на 12 місяців з 01.01.2014р.;</t>
  </si>
  <si>
    <t xml:space="preserve">    Додаток 5: Розрахунок повної собівартості та середньозваженого тарифу на централізоване водовідведення.;</t>
  </si>
  <si>
    <t xml:space="preserve">     Додаток 7: Загальновиробничі витрати з централізованого водовідведення на 2014 р. ТОВ "БОС";</t>
  </si>
  <si>
    <t xml:space="preserve">     Додаток 8: Адміністрвтивні витрати з централізованого  водовідведення на 2014 р. ТОВ "БОС";</t>
  </si>
  <si>
    <t xml:space="preserve">     Додаток 9: Витрати на збут з централізованого водовідведення на 2014 р. ТОВ "БОС";</t>
  </si>
  <si>
    <t xml:space="preserve">     Додаток 10: Інші операційні витрати з централізованого водовідведення на 2014 р. ТОВ "БОС" ;</t>
  </si>
  <si>
    <t xml:space="preserve">     Додаток 11: Фінансові витрати з централізованого водовідведення на 2014 р. ТОВ "БОС";</t>
  </si>
  <si>
    <t xml:space="preserve">     Додаток 12: Розрахунковий прибуток з централізованого водовідведення на 2014 р. ТОВ "БОС";</t>
  </si>
  <si>
    <t xml:space="preserve">     Долдаток 14: Загальна характеристика ліцензіата з централізованого водовідведення ТОВ "БОС";</t>
  </si>
  <si>
    <t xml:space="preserve">Керівник ТОВ "БОС" </t>
  </si>
  <si>
    <t>Богомольна Н.П.</t>
  </si>
  <si>
    <t>"06"жовтня 2014 р.</t>
  </si>
  <si>
    <t>N з/п</t>
  </si>
  <si>
    <t>Зміст</t>
  </si>
  <si>
    <t>Посилання на документ</t>
  </si>
  <si>
    <t>(стор. _____ - _____)</t>
  </si>
  <si>
    <t xml:space="preserve">     Додаток 6: Розрахунок вартості електричної енергії на технологічні потреби централізованого водовідведення на 2014 р.;</t>
  </si>
  <si>
    <t>Додаток 2</t>
  </si>
  <si>
    <t>матеріали та документи для встановлення тарифу.</t>
  </si>
  <si>
    <t xml:space="preserve">     Лист - Пояснювальна записка;</t>
  </si>
  <si>
    <t xml:space="preserve">     Заява</t>
  </si>
  <si>
    <t xml:space="preserve">     Копії звітності за базовий період та з початку року;</t>
  </si>
  <si>
    <t xml:space="preserve">     Розрахунок тарифів на плановий період (додатки)</t>
  </si>
  <si>
    <t xml:space="preserve">     Підтверджуючі документи та матеріали.</t>
  </si>
  <si>
    <t xml:space="preserve">     Копія рішення Про встановлення тарифу для ТОВ "БОС" Вознесенською міською радою в 2012р.;</t>
  </si>
  <si>
    <t>Зміст матеріалів та комплекту документів, що подаються для встановлення тарифів на централізоване водовідведення на 2015 р.</t>
  </si>
  <si>
    <t xml:space="preserve">    витрати на очищення власних стічних вод іншими підприємствами</t>
  </si>
  <si>
    <t xml:space="preserve">    витрати на реагенти</t>
  </si>
  <si>
    <t>1.1.4</t>
  </si>
  <si>
    <t xml:space="preserve">    матеріали,запасні частини та інші матеріальні ресурси (ремонти)</t>
  </si>
  <si>
    <t xml:space="preserve">     відрахування на соціальні заходи</t>
  </si>
  <si>
    <t xml:space="preserve">     амортизаційні відрахування</t>
  </si>
  <si>
    <t>1.4.1</t>
  </si>
  <si>
    <t>1.4.2</t>
  </si>
  <si>
    <t>1.4.3</t>
  </si>
  <si>
    <t>1.4.4</t>
  </si>
  <si>
    <t xml:space="preserve">     інші витрати</t>
  </si>
  <si>
    <t>3.1</t>
  </si>
  <si>
    <t>3.2</t>
  </si>
  <si>
    <t>3.3</t>
  </si>
  <si>
    <t>3.4</t>
  </si>
  <si>
    <t>Повна собівартість</t>
  </si>
  <si>
    <t>Розрахунковий прибуток, у т.ч.:</t>
  </si>
  <si>
    <t>Вартість централізованого  водовідведення за відповідним тарифом,тис.грн</t>
  </si>
  <si>
    <t>Тариф на централізоване водовідведення,грн/куб.м.</t>
  </si>
  <si>
    <t>Обсяг реалізації тис. куб. м :</t>
  </si>
  <si>
    <t xml:space="preserve">     населення</t>
  </si>
  <si>
    <t xml:space="preserve">     бюджетних установ</t>
  </si>
  <si>
    <t xml:space="preserve">    інших водопровідно-каналізаційних господарств</t>
  </si>
  <si>
    <t xml:space="preserve">    інших споживачів</t>
  </si>
  <si>
    <t>Виробнича собівартість, у т.ч.:</t>
  </si>
  <si>
    <t>7.3</t>
  </si>
  <si>
    <t>7.4</t>
  </si>
  <si>
    <t>7.5</t>
  </si>
  <si>
    <t>усього,тис.грн на рік</t>
  </si>
  <si>
    <t xml:space="preserve">     витрати на утримання основних засобів, інші:освітлення</t>
  </si>
  <si>
    <t>Витрати на оплату послуг зв'язку:телефонний</t>
  </si>
  <si>
    <t>Витрати на оплату послуг банків:розрахунково-касове обслуговування</t>
  </si>
  <si>
    <t>Інші адміністративні витрати: інформаційно-технологічне супроводження програми 1С</t>
  </si>
  <si>
    <t>Витрати на утримання виробничих приміщень:вивезення сміття</t>
  </si>
  <si>
    <t>6.1</t>
  </si>
  <si>
    <t>6.2</t>
  </si>
  <si>
    <t>6.3</t>
  </si>
  <si>
    <t>6.4</t>
  </si>
  <si>
    <t>6.4.1</t>
  </si>
  <si>
    <t>6.4.2</t>
  </si>
  <si>
    <t>6.4.3</t>
  </si>
  <si>
    <t>7.6</t>
  </si>
  <si>
    <t>7.7</t>
  </si>
  <si>
    <t>Витрати на охорону об'єктів виробничого та загальновиробничого призначення:сторожова охорона</t>
  </si>
  <si>
    <t>Витрати на оплату праці</t>
  </si>
  <si>
    <t xml:space="preserve">     хімдослідження</t>
  </si>
  <si>
    <t xml:space="preserve">     орендна плата</t>
  </si>
  <si>
    <t>Прямі матеріальні витрати з централізованого водовідведення, усього</t>
  </si>
  <si>
    <t xml:space="preserve">    прямі матеріальні витрати:</t>
  </si>
  <si>
    <t xml:space="preserve">    електроенергія</t>
  </si>
  <si>
    <t>Інші прямі витрати у т.ч.:</t>
  </si>
  <si>
    <t>Всього витрат:</t>
  </si>
  <si>
    <t>на кількість  стоків:</t>
  </si>
  <si>
    <t xml:space="preserve">   матеріали,запасні частини та інші матеріальні ресурси(ремонти)</t>
  </si>
  <si>
    <t>Фактично за січень 2015р.,тис.грн</t>
  </si>
  <si>
    <t>1,3</t>
  </si>
  <si>
    <t>3,4</t>
  </si>
  <si>
    <t>Інше</t>
  </si>
  <si>
    <t>Витрати на оплату праці апарату управління збуту</t>
  </si>
  <si>
    <t>Витрати на ремонт основних засобів та необоротних активів загальновиробничого призначення(запасні частини)</t>
  </si>
  <si>
    <t xml:space="preserve">     телефонний зв'язок</t>
  </si>
  <si>
    <t>Фактично за лютий 2015р.,тис.грн</t>
  </si>
  <si>
    <t>собівартість грн/м.куб.:</t>
  </si>
  <si>
    <t>12.4</t>
  </si>
  <si>
    <t xml:space="preserve">     Канцелярські товари</t>
  </si>
  <si>
    <t>12.3</t>
  </si>
  <si>
    <t>Фактично за березень 2015р.,тис.грн</t>
  </si>
  <si>
    <t>Фактично за квітень 2015р.,тис.грн</t>
  </si>
  <si>
    <t>План на січень 2015р.,тис.грн *</t>
  </si>
  <si>
    <t>тис.грн</t>
  </si>
  <si>
    <t>План на лютий 2015р.,тис.грн *</t>
  </si>
  <si>
    <t>План на березень 2015р.,тис.грн *</t>
  </si>
  <si>
    <t>План на квітень 2015р.,тис.грн *</t>
  </si>
  <si>
    <t>Відхилення січень 2015р; - перебор;+ недобор. (ПРОПОРЦІЙНО КУБАМ)</t>
  </si>
  <si>
    <t>Складові  витрат</t>
  </si>
  <si>
    <t>Найменування показників (затвердженно НКРЄКП)</t>
  </si>
  <si>
    <t>Загальні показники (затвердженно НКРЄКП)</t>
  </si>
  <si>
    <t>Відхилення лютий 2015р; - перебор;+ недобор. (ПРОПОРЦІЙНО КУБАМ)</t>
  </si>
  <si>
    <t>Відхилення березень 2015р; - перебор;+ недобор. (ПРОПОРЦІЙНО КУБАМ)</t>
  </si>
  <si>
    <t>Відхилення квітень 2015р; - перебор;+ недобор. (ПРОПОРЦІЙНО КУБАМ)</t>
  </si>
  <si>
    <t>План на травень 2015р.,тис.грн *</t>
  </si>
  <si>
    <t>Фактично за травень 2015р.,тис.грн</t>
  </si>
  <si>
    <t>Відхилення травень 2015р; - перебор;+ недобор. (ПРОПОРЦІЙНО КУБАМ)</t>
  </si>
  <si>
    <t>Відхилення по з/п</t>
  </si>
  <si>
    <t>Відхилення по елек.</t>
  </si>
  <si>
    <t xml:space="preserve">     страхування майна</t>
  </si>
  <si>
    <t>Фактично за червень 2015р.,тис.грн</t>
  </si>
  <si>
    <t>План на червень 2015р.,тис.грн *</t>
  </si>
  <si>
    <t>Відхилення червень 2015р; - перебор;+ недобор. (ПРОПОРЦІЙНО КУБАМ)</t>
  </si>
  <si>
    <t>Фактично за липень 2015р.,тис.грн</t>
  </si>
  <si>
    <t>План на липень 2015р.,тис.грн *</t>
  </si>
  <si>
    <t>Фактично за серпень 2015р.,тис.грн</t>
  </si>
  <si>
    <t>План на серпень 2015р.,тис.грн *</t>
  </si>
  <si>
    <t>Відхилення липень 2015р;     - перебор;            + недобор. (ПРОПОРЦІЙНО КУБАМ)</t>
  </si>
  <si>
    <t>Відхилення серпень 2015р;     - перебор;             + недобор. (ПРОПОРЦІЙНО КУБАМ)</t>
  </si>
  <si>
    <t>ФАКТ по з/п</t>
  </si>
  <si>
    <t>ФАКТ по елек.</t>
  </si>
  <si>
    <t>Фактично за вересень 2015р.,тис.грн</t>
  </si>
  <si>
    <t>План на вересень 2015р.,тис.грн *</t>
  </si>
  <si>
    <t>Відхилення вересень 2015р;     - перебор;             + недобор. (ПРОПОРЦІЙНО КУБАМ)</t>
  </si>
  <si>
    <t>Фактично за жовтень 2015р.,тис.грн</t>
  </si>
  <si>
    <t>План на жовтень 2015р.,тис.грн *</t>
  </si>
  <si>
    <t>Відхилення жовтень 2015р;     - перебор;             + недобор. (ПРОПОРЦІЙНО КУБАМ)</t>
  </si>
  <si>
    <t>Фактично за листопад 2015р.,тис.грн</t>
  </si>
  <si>
    <t>План на листопад 2015р.,тис.грн *</t>
  </si>
  <si>
    <t>Відхилення листопад 2015р;     - перебор;             + недобор. (ПРОПОРЦІЙНО КУБАМ)</t>
  </si>
  <si>
    <t>Фактично за грудень 2015р.,тис.грн</t>
  </si>
  <si>
    <t>всего за 12 месяцев</t>
  </si>
  <si>
    <t>План на грудень 2015р.,тис.грн *</t>
  </si>
  <si>
    <t>Фактично за 12 месяцев 2015р.,тис.грн</t>
  </si>
  <si>
    <t>план за 12 месяцев</t>
  </si>
  <si>
    <t>Відхилення грудень 2015р;     - перебор;             + недобор. (ПРОПОРЦІЙНО КУБАМ)</t>
  </si>
  <si>
    <t>Відхилення 12 месяцев 2015р;     - перебор;             + недобор. (ПРОПОРЦІЙНО КУБАМ)</t>
  </si>
  <si>
    <t>Структура таріфа 2015 рік</t>
  </si>
  <si>
    <t>% статті витрат в тарифі</t>
  </si>
  <si>
    <t>Планові показники на 2016 рік</t>
  </si>
  <si>
    <t>грн на 1 м.куб</t>
  </si>
  <si>
    <t xml:space="preserve">Структура планового тарифу ТОВ "БОС" на централізоване водовідвеення </t>
  </si>
  <si>
    <t>Розрахунковий прибуток</t>
  </si>
  <si>
    <t>Найменування показників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</si>
</sst>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  <numFmt numFmtId="209" formatCode="#,##0.0"/>
    <numFmt numFmtId="210" formatCode="#,##0.000"/>
    <numFmt numFmtId="211" formatCode="#,##0.0000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0.000000000"/>
  </numFmts>
  <fonts count="77">
    <font>
      <sz val="10"/>
      <name val="Arial"/>
      <family val="0"/>
    </font>
    <font>
      <b/>
      <sz val="13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3.5"/>
      <color indexed="8"/>
      <name val="Times New Roman"/>
      <family val="1"/>
    </font>
    <font>
      <sz val="10"/>
      <color indexed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6"/>
      <color indexed="63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10"/>
      <color indexed="30"/>
      <name val="Arial"/>
      <family val="2"/>
    </font>
    <font>
      <sz val="10"/>
      <color indexed="13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0"/>
      <color indexed="62"/>
      <name val="Arial"/>
      <family val="2"/>
    </font>
    <font>
      <b/>
      <sz val="11"/>
      <color indexed="30"/>
      <name val="Arial"/>
      <family val="2"/>
    </font>
    <font>
      <b/>
      <i/>
      <sz val="13.5"/>
      <color indexed="8"/>
      <name val="Times New Roman"/>
      <family val="1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0070C0"/>
      <name val="Calibri"/>
      <family val="2"/>
    </font>
    <font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b/>
      <sz val="11"/>
      <color rgb="FF0070C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6C6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1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wrapText="1" shrinkToFit="1"/>
    </xf>
    <xf numFmtId="0" fontId="14" fillId="0" borderId="0" xfId="0" applyFont="1" applyBorder="1" applyAlignment="1">
      <alignment vertical="center" wrapText="1" shrinkToFit="1"/>
    </xf>
    <xf numFmtId="0" fontId="14" fillId="0" borderId="0" xfId="0" applyFont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/>
    </xf>
    <xf numFmtId="0" fontId="12" fillId="0" borderId="0" xfId="0" applyFont="1" applyAlignment="1">
      <alignment horizontal="right"/>
    </xf>
    <xf numFmtId="0" fontId="14" fillId="32" borderId="18" xfId="0" applyFont="1" applyFill="1" applyBorder="1" applyAlignment="1">
      <alignment horizontal="left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4" fillId="32" borderId="19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210" fontId="0" fillId="0" borderId="10" xfId="0" applyNumberFormat="1" applyFill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21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210" fontId="1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211" fontId="0" fillId="0" borderId="10" xfId="0" applyNumberFormat="1" applyFill="1" applyBorder="1" applyAlignment="1">
      <alignment horizontal="center" vertical="center"/>
    </xf>
    <xf numFmtId="211" fontId="12" fillId="0" borderId="10" xfId="0" applyNumberFormat="1" applyFont="1" applyFill="1" applyBorder="1" applyAlignment="1">
      <alignment horizontal="center" vertical="center"/>
    </xf>
    <xf numFmtId="211" fontId="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211" fontId="12" fillId="0" borderId="10" xfId="0" applyNumberFormat="1" applyFont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21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210" fontId="0" fillId="0" borderId="10" xfId="0" applyNumberFormat="1" applyBorder="1" applyAlignment="1">
      <alignment horizontal="center"/>
    </xf>
    <xf numFmtId="2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12" fillId="0" borderId="10" xfId="0" applyFont="1" applyBorder="1" applyAlignment="1">
      <alignment wrapText="1"/>
    </xf>
    <xf numFmtId="49" fontId="0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10" fontId="0" fillId="0" borderId="10" xfId="0" applyNumberFormat="1" applyFont="1" applyFill="1" applyBorder="1" applyAlignment="1">
      <alignment horizontal="center" vertical="center" wrapText="1"/>
    </xf>
    <xf numFmtId="210" fontId="0" fillId="0" borderId="10" xfId="0" applyNumberFormat="1" applyFont="1" applyBorder="1" applyAlignment="1">
      <alignment horizontal="center" vertical="center" wrapText="1"/>
    </xf>
    <xf numFmtId="210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210" fontId="12" fillId="0" borderId="21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/>
    </xf>
    <xf numFmtId="210" fontId="9" fillId="0" borderId="10" xfId="0" applyNumberFormat="1" applyFont="1" applyBorder="1" applyAlignment="1">
      <alignment horizontal="center"/>
    </xf>
    <xf numFmtId="21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9" fontId="0" fillId="34" borderId="20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9" fontId="0" fillId="34" borderId="20" xfId="0" applyNumberFormat="1" applyFont="1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0" fillId="34" borderId="20" xfId="0" applyNumberFormat="1" applyFont="1" applyFill="1" applyBorder="1" applyAlignment="1">
      <alignment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2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0" fontId="0" fillId="32" borderId="10" xfId="0" applyFill="1" applyBorder="1" applyAlignment="1">
      <alignment horizontal="center"/>
    </xf>
    <xf numFmtId="210" fontId="12" fillId="32" borderId="10" xfId="0" applyNumberFormat="1" applyFont="1" applyFill="1" applyBorder="1" applyAlignment="1">
      <alignment/>
    </xf>
    <xf numFmtId="210" fontId="0" fillId="32" borderId="10" xfId="0" applyNumberFormat="1" applyFill="1" applyBorder="1" applyAlignment="1">
      <alignment/>
    </xf>
    <xf numFmtId="210" fontId="0" fillId="32" borderId="10" xfId="0" applyNumberFormat="1" applyFill="1" applyBorder="1" applyAlignment="1">
      <alignment horizontal="right" vertical="center" wrapText="1"/>
    </xf>
    <xf numFmtId="210" fontId="0" fillId="32" borderId="20" xfId="0" applyNumberFormat="1" applyFill="1" applyBorder="1" applyAlignment="1">
      <alignment horizontal="right" vertical="center" wrapText="1"/>
    </xf>
    <xf numFmtId="210" fontId="0" fillId="32" borderId="10" xfId="0" applyNumberFormat="1" applyFill="1" applyBorder="1" applyAlignment="1">
      <alignment horizontal="center" vertical="center" wrapText="1"/>
    </xf>
    <xf numFmtId="210" fontId="0" fillId="32" borderId="10" xfId="0" applyNumberFormat="1" applyFont="1" applyFill="1" applyBorder="1" applyAlignment="1">
      <alignment horizontal="center" vertical="center" wrapText="1"/>
    </xf>
    <xf numFmtId="210" fontId="9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10" fontId="9" fillId="32" borderId="20" xfId="0" applyNumberFormat="1" applyFont="1" applyFill="1" applyBorder="1" applyAlignment="1">
      <alignment horizontal="center" vertical="center" wrapText="1"/>
    </xf>
    <xf numFmtId="209" fontId="0" fillId="32" borderId="10" xfId="0" applyNumberFormat="1" applyFill="1" applyBorder="1" applyAlignment="1">
      <alignment horizontal="center" vertical="center"/>
    </xf>
    <xf numFmtId="0" fontId="12" fillId="32" borderId="10" xfId="0" applyFont="1" applyFill="1" applyBorder="1" applyAlignment="1">
      <alignment/>
    </xf>
    <xf numFmtId="4" fontId="12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20" fillId="34" borderId="10" xfId="0" applyFont="1" applyFill="1" applyBorder="1" applyAlignment="1">
      <alignment horizontal="left" vertical="center" wrapText="1"/>
    </xf>
    <xf numFmtId="210" fontId="12" fillId="34" borderId="10" xfId="0" applyNumberFormat="1" applyFont="1" applyFill="1" applyBorder="1" applyAlignment="1">
      <alignment horizontal="center" vertical="center"/>
    </xf>
    <xf numFmtId="211" fontId="12" fillId="34" borderId="10" xfId="0" applyNumberFormat="1" applyFont="1" applyFill="1" applyBorder="1" applyAlignment="1">
      <alignment horizontal="center" vertical="center"/>
    </xf>
    <xf numFmtId="211" fontId="0" fillId="0" borderId="0" xfId="0" applyNumberFormat="1" applyAlignment="1">
      <alignment/>
    </xf>
    <xf numFmtId="211" fontId="12" fillId="33" borderId="10" xfId="0" applyNumberFormat="1" applyFont="1" applyFill="1" applyBorder="1" applyAlignment="1">
      <alignment horizontal="center" vertical="center"/>
    </xf>
    <xf numFmtId="211" fontId="0" fillId="33" borderId="10" xfId="0" applyNumberFormat="1" applyFill="1" applyBorder="1" applyAlignment="1">
      <alignment horizontal="center" vertical="center"/>
    </xf>
    <xf numFmtId="210" fontId="0" fillId="0" borderId="0" xfId="0" applyNumberFormat="1" applyAlignment="1">
      <alignment/>
    </xf>
    <xf numFmtId="0" fontId="0" fillId="0" borderId="0" xfId="0" applyFont="1" applyAlignment="1">
      <alignment/>
    </xf>
    <xf numFmtId="210" fontId="12" fillId="0" borderId="10" xfId="0" applyNumberFormat="1" applyFont="1" applyFill="1" applyBorder="1" applyAlignment="1">
      <alignment horizontal="center" vertical="center" wrapText="1"/>
    </xf>
    <xf numFmtId="210" fontId="7" fillId="0" borderId="10" xfId="0" applyNumberFormat="1" applyFont="1" applyBorder="1" applyAlignment="1">
      <alignment horizontal="center"/>
    </xf>
    <xf numFmtId="210" fontId="12" fillId="0" borderId="10" xfId="0" applyNumberFormat="1" applyFont="1" applyBorder="1" applyAlignment="1">
      <alignment horizontal="center" vertical="center" wrapText="1"/>
    </xf>
    <xf numFmtId="210" fontId="7" fillId="0" borderId="10" xfId="0" applyNumberFormat="1" applyFont="1" applyBorder="1" applyAlignment="1">
      <alignment horizontal="center"/>
    </xf>
    <xf numFmtId="210" fontId="0" fillId="0" borderId="10" xfId="0" applyNumberForma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210" fontId="9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210" fontId="9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210" fontId="23" fillId="32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210" fontId="23" fillId="0" borderId="10" xfId="0" applyNumberFormat="1" applyFont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210" fontId="24" fillId="0" borderId="10" xfId="0" applyNumberFormat="1" applyFont="1" applyFill="1" applyBorder="1" applyAlignment="1">
      <alignment horizontal="center" vertical="center"/>
    </xf>
    <xf numFmtId="211" fontId="24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5" fillId="34" borderId="10" xfId="0" applyFont="1" applyFill="1" applyBorder="1" applyAlignment="1">
      <alignment horizontal="left" vertical="center" wrapText="1"/>
    </xf>
    <xf numFmtId="210" fontId="24" fillId="34" borderId="10" xfId="0" applyNumberFormat="1" applyFont="1" applyFill="1" applyBorder="1" applyAlignment="1">
      <alignment horizontal="center" vertical="center"/>
    </xf>
    <xf numFmtId="211" fontId="24" fillId="34" borderId="10" xfId="0" applyNumberFormat="1" applyFont="1" applyFill="1" applyBorder="1" applyAlignment="1">
      <alignment horizontal="center" vertical="center"/>
    </xf>
    <xf numFmtId="211" fontId="0" fillId="33" borderId="10" xfId="0" applyNumberFormat="1" applyFont="1" applyFill="1" applyBorder="1" applyAlignment="1">
      <alignment horizontal="center" vertical="center"/>
    </xf>
    <xf numFmtId="210" fontId="70" fillId="0" borderId="10" xfId="0" applyNumberFormat="1" applyFont="1" applyBorder="1" applyAlignment="1">
      <alignment horizontal="center"/>
    </xf>
    <xf numFmtId="210" fontId="9" fillId="0" borderId="10" xfId="0" applyNumberFormat="1" applyFont="1" applyBorder="1" applyAlignment="1">
      <alignment horizontal="center"/>
    </xf>
    <xf numFmtId="210" fontId="71" fillId="0" borderId="10" xfId="0" applyNumberFormat="1" applyFont="1" applyBorder="1" applyAlignment="1">
      <alignment horizontal="center"/>
    </xf>
    <xf numFmtId="0" fontId="72" fillId="0" borderId="0" xfId="0" applyFont="1" applyAlignment="1">
      <alignment/>
    </xf>
    <xf numFmtId="211" fontId="12" fillId="35" borderId="10" xfId="0" applyNumberFormat="1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/>
    </xf>
    <xf numFmtId="0" fontId="3" fillId="36" borderId="2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vertical="center" wrapText="1"/>
    </xf>
    <xf numFmtId="210" fontId="12" fillId="0" borderId="10" xfId="0" applyNumberFormat="1" applyFont="1" applyBorder="1" applyAlignment="1">
      <alignment horizontal="center"/>
    </xf>
    <xf numFmtId="210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24" fillId="36" borderId="1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left" vertical="center" wrapText="1"/>
    </xf>
    <xf numFmtId="210" fontId="24" fillId="36" borderId="10" xfId="0" applyNumberFormat="1" applyFont="1" applyFill="1" applyBorder="1" applyAlignment="1">
      <alignment horizontal="center" vertical="center"/>
    </xf>
    <xf numFmtId="211" fontId="24" fillId="36" borderId="10" xfId="0" applyNumberFormat="1" applyFont="1" applyFill="1" applyBorder="1" applyAlignment="1">
      <alignment horizontal="center" vertical="center"/>
    </xf>
    <xf numFmtId="210" fontId="12" fillId="36" borderId="10" xfId="0" applyNumberFormat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left" vertical="center" wrapText="1"/>
    </xf>
    <xf numFmtId="211" fontId="12" fillId="36" borderId="10" xfId="0" applyNumberFormat="1" applyFont="1" applyFill="1" applyBorder="1" applyAlignment="1">
      <alignment horizontal="center" vertical="center"/>
    </xf>
    <xf numFmtId="211" fontId="12" fillId="37" borderId="10" xfId="0" applyNumberFormat="1" applyFont="1" applyFill="1" applyBorder="1" applyAlignment="1">
      <alignment horizontal="center" vertical="center"/>
    </xf>
    <xf numFmtId="211" fontId="12" fillId="38" borderId="10" xfId="0" applyNumberFormat="1" applyFont="1" applyFill="1" applyBorder="1" applyAlignment="1">
      <alignment horizontal="center" vertical="center"/>
    </xf>
    <xf numFmtId="211" fontId="24" fillId="38" borderId="10" xfId="0" applyNumberFormat="1" applyFont="1" applyFill="1" applyBorder="1" applyAlignment="1">
      <alignment horizontal="center" vertical="center"/>
    </xf>
    <xf numFmtId="211" fontId="0" fillId="38" borderId="10" xfId="0" applyNumberFormat="1" applyFill="1" applyBorder="1" applyAlignment="1">
      <alignment horizontal="center" vertical="center"/>
    </xf>
    <xf numFmtId="211" fontId="0" fillId="0" borderId="20" xfId="0" applyNumberFormat="1" applyFont="1" applyBorder="1" applyAlignment="1">
      <alignment horizontal="center" vertical="center"/>
    </xf>
    <xf numFmtId="211" fontId="12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210" fontId="24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217" fontId="12" fillId="0" borderId="10" xfId="0" applyNumberFormat="1" applyFont="1" applyFill="1" applyBorder="1" applyAlignment="1">
      <alignment horizontal="center" vertical="center"/>
    </xf>
    <xf numFmtId="49" fontId="0" fillId="37" borderId="10" xfId="0" applyNumberForma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center" wrapText="1"/>
    </xf>
    <xf numFmtId="210" fontId="0" fillId="37" borderId="10" xfId="0" applyNumberFormat="1" applyFill="1" applyBorder="1" applyAlignment="1">
      <alignment horizontal="center" vertical="center"/>
    </xf>
    <xf numFmtId="211" fontId="0" fillId="37" borderId="10" xfId="0" applyNumberFormat="1" applyFill="1" applyBorder="1" applyAlignment="1">
      <alignment horizontal="center" vertical="center"/>
    </xf>
    <xf numFmtId="210" fontId="12" fillId="37" borderId="10" xfId="0" applyNumberFormat="1" applyFont="1" applyFill="1" applyBorder="1" applyAlignment="1">
      <alignment horizontal="center" vertical="center"/>
    </xf>
    <xf numFmtId="211" fontId="0" fillId="37" borderId="10" xfId="0" applyNumberFormat="1" applyFont="1" applyFill="1" applyBorder="1" applyAlignment="1">
      <alignment horizontal="center" vertical="center"/>
    </xf>
    <xf numFmtId="210" fontId="12" fillId="37" borderId="10" xfId="0" applyNumberFormat="1" applyFont="1" applyFill="1" applyBorder="1" applyAlignment="1">
      <alignment horizontal="center"/>
    </xf>
    <xf numFmtId="49" fontId="24" fillId="38" borderId="10" xfId="0" applyNumberFormat="1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left" vertical="center" wrapText="1"/>
    </xf>
    <xf numFmtId="210" fontId="24" fillId="38" borderId="10" xfId="0" applyNumberFormat="1" applyFont="1" applyFill="1" applyBorder="1" applyAlignment="1">
      <alignment horizontal="center" vertical="center"/>
    </xf>
    <xf numFmtId="210" fontId="24" fillId="38" borderId="10" xfId="0" applyNumberFormat="1" applyFont="1" applyFill="1" applyBorder="1" applyAlignment="1">
      <alignment horizontal="center"/>
    </xf>
    <xf numFmtId="210" fontId="12" fillId="38" borderId="10" xfId="0" applyNumberFormat="1" applyFont="1" applyFill="1" applyBorder="1" applyAlignment="1">
      <alignment horizontal="center"/>
    </xf>
    <xf numFmtId="49" fontId="0" fillId="38" borderId="10" xfId="0" applyNumberForma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left" vertical="center" wrapText="1"/>
    </xf>
    <xf numFmtId="210" fontId="0" fillId="38" borderId="10" xfId="0" applyNumberFormat="1" applyFill="1" applyBorder="1" applyAlignment="1">
      <alignment horizontal="center" vertical="center"/>
    </xf>
    <xf numFmtId="49" fontId="0" fillId="38" borderId="10" xfId="0" applyNumberFormat="1" applyFont="1" applyFill="1" applyBorder="1" applyAlignment="1">
      <alignment horizontal="center" vertical="center" wrapText="1"/>
    </xf>
    <xf numFmtId="210" fontId="24" fillId="36" borderId="10" xfId="0" applyNumberFormat="1" applyFont="1" applyFill="1" applyBorder="1" applyAlignment="1">
      <alignment horizontal="center"/>
    </xf>
    <xf numFmtId="210" fontId="73" fillId="0" borderId="10" xfId="0" applyNumberFormat="1" applyFont="1" applyBorder="1" applyAlignment="1">
      <alignment horizontal="center"/>
    </xf>
    <xf numFmtId="210" fontId="73" fillId="0" borderId="10" xfId="0" applyNumberFormat="1" applyFont="1" applyBorder="1" applyAlignment="1">
      <alignment horizontal="center" vertical="center" wrapText="1"/>
    </xf>
    <xf numFmtId="210" fontId="74" fillId="0" borderId="10" xfId="0" applyNumberFormat="1" applyFont="1" applyBorder="1" applyAlignment="1">
      <alignment horizontal="center"/>
    </xf>
    <xf numFmtId="0" fontId="7" fillId="36" borderId="10" xfId="0" applyFont="1" applyFill="1" applyBorder="1" applyAlignment="1">
      <alignment horizontal="center" vertical="center" wrapText="1"/>
    </xf>
    <xf numFmtId="210" fontId="12" fillId="36" borderId="20" xfId="0" applyNumberFormat="1" applyFont="1" applyFill="1" applyBorder="1" applyAlignment="1">
      <alignment horizontal="center" vertical="center"/>
    </xf>
    <xf numFmtId="4" fontId="12" fillId="36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211" fontId="12" fillId="37" borderId="20" xfId="0" applyNumberFormat="1" applyFont="1" applyFill="1" applyBorder="1" applyAlignment="1">
      <alignment horizontal="center" vertical="center"/>
    </xf>
    <xf numFmtId="4" fontId="12" fillId="37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9" fontId="0" fillId="0" borderId="10" xfId="57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210" fontId="9" fillId="0" borderId="21" xfId="0" applyNumberFormat="1" applyFont="1" applyFill="1" applyBorder="1" applyAlignment="1">
      <alignment horizontal="center" vertical="center"/>
    </xf>
    <xf numFmtId="210" fontId="9" fillId="0" borderId="2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210" fontId="12" fillId="0" borderId="21" xfId="0" applyNumberFormat="1" applyFont="1" applyFill="1" applyBorder="1" applyAlignment="1">
      <alignment horizontal="center" vertical="center"/>
    </xf>
    <xf numFmtId="210" fontId="12" fillId="0" borderId="24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12" fillId="0" borderId="21" xfId="0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4" fontId="0" fillId="0" borderId="10" xfId="57" applyNumberFormat="1" applyFont="1" applyFill="1" applyBorder="1" applyAlignment="1">
      <alignment horizontal="center" vertical="center" wrapText="1"/>
    </xf>
    <xf numFmtId="209" fontId="0" fillId="0" borderId="10" xfId="0" applyNumberFormat="1" applyFont="1" applyFill="1" applyBorder="1" applyAlignment="1">
      <alignment horizontal="center" vertical="center" wrapText="1"/>
    </xf>
    <xf numFmtId="210" fontId="0" fillId="0" borderId="21" xfId="0" applyNumberFormat="1" applyFont="1" applyFill="1" applyBorder="1" applyAlignment="1">
      <alignment horizontal="center" vertical="center" wrapText="1"/>
    </xf>
    <xf numFmtId="210" fontId="0" fillId="0" borderId="29" xfId="0" applyNumberFormat="1" applyFont="1" applyFill="1" applyBorder="1" applyAlignment="1">
      <alignment horizontal="center" vertical="center" wrapText="1"/>
    </xf>
    <xf numFmtId="210" fontId="0" fillId="0" borderId="24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center"/>
    </xf>
    <xf numFmtId="49" fontId="50" fillId="39" borderId="10" xfId="0" applyNumberFormat="1" applyFont="1" applyFill="1" applyBorder="1" applyAlignment="1">
      <alignment horizontal="center" vertical="center" wrapText="1"/>
    </xf>
    <xf numFmtId="0" fontId="51" fillId="39" borderId="10" xfId="0" applyFont="1" applyFill="1" applyBorder="1" applyAlignment="1">
      <alignment horizontal="left" vertical="center" wrapText="1"/>
    </xf>
    <xf numFmtId="209" fontId="52" fillId="39" borderId="10" xfId="0" applyNumberFormat="1" applyFont="1" applyFill="1" applyBorder="1" applyAlignment="1">
      <alignment horizontal="center" vertical="center" wrapText="1"/>
    </xf>
    <xf numFmtId="9" fontId="52" fillId="39" borderId="10" xfId="57" applyFont="1" applyFill="1" applyBorder="1" applyAlignment="1">
      <alignment horizontal="center" vertical="center" wrapText="1"/>
    </xf>
    <xf numFmtId="4" fontId="52" fillId="39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1" fontId="0" fillId="0" borderId="10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B4" sqref="B4"/>
    </sheetView>
  </sheetViews>
  <sheetFormatPr defaultColWidth="9.140625" defaultRowHeight="12.75" outlineLevelRow="1"/>
  <cols>
    <col min="1" max="1" width="6.57421875" style="0" customWidth="1"/>
    <col min="2" max="2" width="89.28125" style="0" customWidth="1"/>
    <col min="3" max="3" width="26.140625" style="0" customWidth="1"/>
  </cols>
  <sheetData>
    <row r="1" ht="19.5" customHeight="1">
      <c r="C1" s="40" t="s">
        <v>110</v>
      </c>
    </row>
    <row r="2" spans="1:3" ht="12.75">
      <c r="A2" s="236" t="s">
        <v>161</v>
      </c>
      <c r="B2" s="236"/>
      <c r="C2" s="236"/>
    </row>
    <row r="3" spans="1:3" ht="33" customHeight="1" thickBot="1">
      <c r="A3" s="236"/>
      <c r="B3" s="236"/>
      <c r="C3" s="236"/>
    </row>
    <row r="4" spans="1:3" ht="24.75" customHeight="1">
      <c r="A4" s="26" t="s">
        <v>148</v>
      </c>
      <c r="B4" s="27" t="s">
        <v>149</v>
      </c>
      <c r="C4" s="28" t="s">
        <v>150</v>
      </c>
    </row>
    <row r="5" spans="1:3" ht="24.75" customHeight="1">
      <c r="A5" s="42">
        <v>1</v>
      </c>
      <c r="B5" s="41" t="s">
        <v>156</v>
      </c>
      <c r="C5" s="31" t="s">
        <v>151</v>
      </c>
    </row>
    <row r="6" spans="1:10" ht="30.75" customHeight="1">
      <c r="A6" s="29">
        <v>2</v>
      </c>
      <c r="B6" s="30" t="s">
        <v>155</v>
      </c>
      <c r="C6" s="31" t="s">
        <v>151</v>
      </c>
      <c r="D6" s="32"/>
      <c r="E6" s="32"/>
      <c r="F6" s="32"/>
      <c r="G6" s="32"/>
      <c r="H6" s="32"/>
      <c r="I6" s="32"/>
      <c r="J6" s="32"/>
    </row>
    <row r="7" spans="1:10" ht="30.75" customHeight="1">
      <c r="A7" s="42">
        <v>3</v>
      </c>
      <c r="B7" s="30" t="s">
        <v>121</v>
      </c>
      <c r="C7" s="31" t="s">
        <v>151</v>
      </c>
      <c r="D7" s="32"/>
      <c r="E7" s="32"/>
      <c r="F7" s="32"/>
      <c r="G7" s="32"/>
      <c r="H7" s="32"/>
      <c r="I7" s="32"/>
      <c r="J7" s="32"/>
    </row>
    <row r="8" spans="1:10" ht="30.75" customHeight="1">
      <c r="A8" s="29">
        <v>4</v>
      </c>
      <c r="B8" s="30" t="s">
        <v>122</v>
      </c>
      <c r="C8" s="31" t="s">
        <v>151</v>
      </c>
      <c r="D8" s="33"/>
      <c r="E8" s="33"/>
      <c r="F8" s="33"/>
      <c r="G8" s="33"/>
      <c r="H8" s="33"/>
      <c r="I8" s="33"/>
      <c r="J8" s="33"/>
    </row>
    <row r="9" spans="1:10" ht="30.75" customHeight="1">
      <c r="A9" s="42">
        <v>5</v>
      </c>
      <c r="B9" s="30" t="s">
        <v>123</v>
      </c>
      <c r="C9" s="31" t="s">
        <v>151</v>
      </c>
      <c r="D9" s="32"/>
      <c r="E9" s="32"/>
      <c r="F9" s="32"/>
      <c r="G9" s="32"/>
      <c r="H9" s="32"/>
      <c r="I9" s="32"/>
      <c r="J9" s="32"/>
    </row>
    <row r="10" spans="1:10" ht="30.75" customHeight="1">
      <c r="A10" s="29">
        <v>6</v>
      </c>
      <c r="B10" s="30" t="s">
        <v>124</v>
      </c>
      <c r="C10" s="31" t="s">
        <v>151</v>
      </c>
      <c r="D10" s="32"/>
      <c r="E10" s="32"/>
      <c r="F10" s="32"/>
      <c r="G10" s="32"/>
      <c r="H10" s="32"/>
      <c r="I10" s="32"/>
      <c r="J10" s="32"/>
    </row>
    <row r="11" spans="1:10" ht="30.75" customHeight="1">
      <c r="A11" s="42">
        <v>7</v>
      </c>
      <c r="B11" s="30" t="s">
        <v>125</v>
      </c>
      <c r="C11" s="31" t="s">
        <v>151</v>
      </c>
      <c r="D11" s="32"/>
      <c r="E11" s="32"/>
      <c r="F11" s="32"/>
      <c r="G11" s="32"/>
      <c r="H11" s="32"/>
      <c r="I11" s="32"/>
      <c r="J11" s="32"/>
    </row>
    <row r="12" spans="1:10" ht="30.75" customHeight="1">
      <c r="A12" s="29">
        <v>8</v>
      </c>
      <c r="B12" s="30" t="s">
        <v>126</v>
      </c>
      <c r="C12" s="31" t="s">
        <v>151</v>
      </c>
      <c r="D12" s="33"/>
      <c r="E12" s="33"/>
      <c r="F12" s="33"/>
      <c r="G12" s="33"/>
      <c r="H12" s="33"/>
      <c r="I12" s="33"/>
      <c r="J12" s="33"/>
    </row>
    <row r="13" spans="1:10" ht="30.75" customHeight="1">
      <c r="A13" s="44">
        <v>9</v>
      </c>
      <c r="B13" s="30" t="s">
        <v>160</v>
      </c>
      <c r="C13" s="31" t="s">
        <v>151</v>
      </c>
      <c r="D13" s="33"/>
      <c r="E13" s="33"/>
      <c r="F13" s="33"/>
      <c r="G13" s="33"/>
      <c r="H13" s="33"/>
      <c r="I13" s="33"/>
      <c r="J13" s="33"/>
    </row>
    <row r="14" spans="1:10" ht="30.75" customHeight="1">
      <c r="A14" s="42">
        <v>10</v>
      </c>
      <c r="B14" s="30" t="s">
        <v>157</v>
      </c>
      <c r="C14" s="31" t="s">
        <v>151</v>
      </c>
      <c r="D14" s="32"/>
      <c r="E14" s="32"/>
      <c r="F14" s="32"/>
      <c r="G14" s="32"/>
      <c r="H14" s="32"/>
      <c r="I14" s="32"/>
      <c r="J14" s="32"/>
    </row>
    <row r="15" spans="1:10" ht="30.75" customHeight="1" hidden="1" outlineLevel="1">
      <c r="A15" s="29">
        <v>10</v>
      </c>
      <c r="B15" s="30" t="s">
        <v>127</v>
      </c>
      <c r="C15" s="31" t="s">
        <v>151</v>
      </c>
      <c r="D15" s="33"/>
      <c r="E15" s="33"/>
      <c r="F15" s="33"/>
      <c r="G15" s="33"/>
      <c r="H15" s="33"/>
      <c r="I15" s="33"/>
      <c r="J15" s="33"/>
    </row>
    <row r="16" spans="1:10" ht="30.75" customHeight="1" hidden="1" outlineLevel="1">
      <c r="A16" s="42">
        <v>11</v>
      </c>
      <c r="B16" s="30" t="s">
        <v>128</v>
      </c>
      <c r="C16" s="31" t="s">
        <v>151</v>
      </c>
      <c r="D16" s="33"/>
      <c r="E16" s="33"/>
      <c r="F16" s="33"/>
      <c r="G16" s="33"/>
      <c r="H16" s="33"/>
      <c r="I16" s="33"/>
      <c r="J16" s="33"/>
    </row>
    <row r="17" spans="1:10" ht="30.75" customHeight="1" hidden="1" outlineLevel="1">
      <c r="A17" s="29">
        <v>12</v>
      </c>
      <c r="B17" s="30" t="s">
        <v>129</v>
      </c>
      <c r="C17" s="31" t="s">
        <v>151</v>
      </c>
      <c r="D17" s="33"/>
      <c r="E17" s="33"/>
      <c r="F17" s="33"/>
      <c r="G17" s="33"/>
      <c r="H17" s="33"/>
      <c r="I17" s="33"/>
      <c r="J17" s="33"/>
    </row>
    <row r="18" spans="1:10" ht="30.75" customHeight="1" hidden="1" outlineLevel="1">
      <c r="A18" s="42">
        <v>13</v>
      </c>
      <c r="B18" s="34" t="s">
        <v>130</v>
      </c>
      <c r="C18" s="31" t="s">
        <v>151</v>
      </c>
      <c r="D18" s="35"/>
      <c r="E18" s="35"/>
      <c r="F18" s="35"/>
      <c r="G18" s="35"/>
      <c r="H18" s="35"/>
      <c r="I18" s="35"/>
      <c r="J18" s="35"/>
    </row>
    <row r="19" spans="1:10" ht="30.75" customHeight="1" hidden="1" outlineLevel="1">
      <c r="A19" s="29">
        <v>14</v>
      </c>
      <c r="B19" s="34" t="s">
        <v>131</v>
      </c>
      <c r="C19" s="31" t="s">
        <v>151</v>
      </c>
      <c r="D19" s="35"/>
      <c r="E19" s="35"/>
      <c r="F19" s="35"/>
      <c r="G19" s="35"/>
      <c r="H19" s="35"/>
      <c r="I19" s="35"/>
      <c r="J19" s="35"/>
    </row>
    <row r="20" spans="1:10" ht="30.75" customHeight="1" collapsed="1">
      <c r="A20" s="42">
        <v>11</v>
      </c>
      <c r="B20" s="34" t="s">
        <v>132</v>
      </c>
      <c r="C20" s="31" t="s">
        <v>151</v>
      </c>
      <c r="D20" s="35"/>
      <c r="E20" s="35"/>
      <c r="F20" s="35"/>
      <c r="G20" s="35"/>
      <c r="H20" s="35"/>
      <c r="I20" s="35"/>
      <c r="J20" s="35"/>
    </row>
    <row r="21" spans="1:10" ht="30.75" customHeight="1">
      <c r="A21" s="29">
        <v>12</v>
      </c>
      <c r="B21" s="34" t="s">
        <v>133</v>
      </c>
      <c r="C21" s="31" t="s">
        <v>151</v>
      </c>
      <c r="D21" s="36"/>
      <c r="E21" s="36"/>
      <c r="F21" s="36"/>
      <c r="G21" s="36"/>
      <c r="H21" s="36"/>
      <c r="I21" s="36"/>
      <c r="J21" s="36"/>
    </row>
    <row r="22" spans="1:10" ht="30.75" customHeight="1">
      <c r="A22" s="42">
        <v>13</v>
      </c>
      <c r="B22" s="34" t="s">
        <v>134</v>
      </c>
      <c r="C22" s="31" t="s">
        <v>151</v>
      </c>
      <c r="D22" s="36"/>
      <c r="E22" s="36"/>
      <c r="F22" s="36"/>
      <c r="G22" s="36"/>
      <c r="H22" s="36"/>
      <c r="I22" s="36"/>
      <c r="J22" s="36"/>
    </row>
    <row r="23" spans="1:10" ht="30.75" customHeight="1">
      <c r="A23" s="29">
        <v>14</v>
      </c>
      <c r="B23" s="34" t="s">
        <v>158</v>
      </c>
      <c r="C23" s="31" t="s">
        <v>151</v>
      </c>
      <c r="D23" s="36"/>
      <c r="E23" s="36"/>
      <c r="F23" s="36"/>
      <c r="G23" s="36"/>
      <c r="H23" s="36"/>
      <c r="I23" s="36"/>
      <c r="J23" s="36"/>
    </row>
    <row r="24" spans="1:10" ht="30.75" customHeight="1" hidden="1" outlineLevel="1">
      <c r="A24" s="42">
        <v>14</v>
      </c>
      <c r="B24" s="30" t="s">
        <v>135</v>
      </c>
      <c r="C24" s="31" t="s">
        <v>151</v>
      </c>
      <c r="D24" s="37"/>
      <c r="E24" s="37"/>
      <c r="F24" s="37"/>
      <c r="G24" s="37"/>
      <c r="H24" s="37"/>
      <c r="I24" s="37"/>
      <c r="J24" s="37"/>
    </row>
    <row r="25" spans="1:10" ht="30.75" customHeight="1" hidden="1" outlineLevel="1">
      <c r="A25" s="29">
        <v>15</v>
      </c>
      <c r="B25" s="30" t="s">
        <v>136</v>
      </c>
      <c r="C25" s="31" t="s">
        <v>151</v>
      </c>
      <c r="D25" s="37"/>
      <c r="E25" s="37"/>
      <c r="F25" s="37"/>
      <c r="G25" s="37"/>
      <c r="H25" s="37"/>
      <c r="I25" s="37"/>
      <c r="J25" s="37"/>
    </row>
    <row r="26" spans="1:10" ht="30.75" customHeight="1" hidden="1" outlineLevel="1">
      <c r="A26" s="42">
        <v>16</v>
      </c>
      <c r="B26" s="30" t="s">
        <v>137</v>
      </c>
      <c r="C26" s="31" t="s">
        <v>151</v>
      </c>
      <c r="D26" s="37"/>
      <c r="E26" s="37"/>
      <c r="F26" s="37"/>
      <c r="G26" s="37"/>
      <c r="H26" s="37"/>
      <c r="I26" s="37"/>
      <c r="J26" s="37"/>
    </row>
    <row r="27" spans="1:10" ht="30.75" customHeight="1" hidden="1" outlineLevel="1">
      <c r="A27" s="29">
        <v>17</v>
      </c>
      <c r="B27" s="30" t="s">
        <v>152</v>
      </c>
      <c r="C27" s="31" t="s">
        <v>151</v>
      </c>
      <c r="D27" s="37"/>
      <c r="E27" s="37"/>
      <c r="F27" s="37"/>
      <c r="G27" s="37"/>
      <c r="H27" s="37"/>
      <c r="I27" s="37"/>
      <c r="J27" s="37"/>
    </row>
    <row r="28" spans="1:10" ht="30.75" customHeight="1" hidden="1" outlineLevel="1">
      <c r="A28" s="42">
        <v>18</v>
      </c>
      <c r="B28" s="30" t="s">
        <v>138</v>
      </c>
      <c r="C28" s="31" t="s">
        <v>151</v>
      </c>
      <c r="D28" s="37"/>
      <c r="E28" s="37"/>
      <c r="F28" s="37"/>
      <c r="G28" s="37"/>
      <c r="H28" s="37"/>
      <c r="I28" s="37"/>
      <c r="J28" s="37"/>
    </row>
    <row r="29" spans="1:10" ht="30.75" customHeight="1" hidden="1" outlineLevel="1">
      <c r="A29" s="29">
        <v>19</v>
      </c>
      <c r="B29" s="30" t="s">
        <v>139</v>
      </c>
      <c r="C29" s="31" t="s">
        <v>151</v>
      </c>
      <c r="D29" s="37"/>
      <c r="E29" s="37"/>
      <c r="F29" s="37"/>
      <c r="G29" s="37"/>
      <c r="H29" s="37"/>
      <c r="I29" s="37"/>
      <c r="J29" s="37"/>
    </row>
    <row r="30" spans="1:10" ht="30.75" customHeight="1" hidden="1" outlineLevel="1">
      <c r="A30" s="42">
        <v>20</v>
      </c>
      <c r="B30" s="30" t="s">
        <v>140</v>
      </c>
      <c r="C30" s="31" t="s">
        <v>151</v>
      </c>
      <c r="D30" s="37"/>
      <c r="E30" s="37"/>
      <c r="F30" s="37"/>
      <c r="G30" s="37"/>
      <c r="H30" s="37"/>
      <c r="I30" s="37"/>
      <c r="J30" s="37"/>
    </row>
    <row r="31" spans="1:10" ht="30.75" customHeight="1" hidden="1" outlineLevel="1">
      <c r="A31" s="29">
        <v>21</v>
      </c>
      <c r="B31" s="30" t="s">
        <v>141</v>
      </c>
      <c r="C31" s="31" t="s">
        <v>151</v>
      </c>
      <c r="D31" s="37"/>
      <c r="E31" s="37"/>
      <c r="F31" s="37"/>
      <c r="G31" s="37"/>
      <c r="H31" s="37"/>
      <c r="I31" s="37"/>
      <c r="J31" s="37"/>
    </row>
    <row r="32" spans="1:10" ht="30.75" customHeight="1" hidden="1" outlineLevel="1">
      <c r="A32" s="42">
        <v>22</v>
      </c>
      <c r="B32" s="30" t="s">
        <v>142</v>
      </c>
      <c r="C32" s="31" t="s">
        <v>151</v>
      </c>
      <c r="D32" s="37"/>
      <c r="E32" s="37"/>
      <c r="F32" s="37"/>
      <c r="G32" s="37"/>
      <c r="H32" s="37"/>
      <c r="I32" s="37"/>
      <c r="J32" s="37"/>
    </row>
    <row r="33" spans="1:10" ht="30.75" customHeight="1" hidden="1" outlineLevel="1">
      <c r="A33" s="29">
        <v>23</v>
      </c>
      <c r="B33" s="30" t="s">
        <v>143</v>
      </c>
      <c r="C33" s="31" t="s">
        <v>151</v>
      </c>
      <c r="D33" s="37"/>
      <c r="E33" s="37"/>
      <c r="F33" s="37"/>
      <c r="G33" s="37"/>
      <c r="H33" s="37"/>
      <c r="I33" s="37"/>
      <c r="J33" s="37"/>
    </row>
    <row r="34" spans="1:10" ht="30.75" customHeight="1" hidden="1" outlineLevel="1">
      <c r="A34" s="42">
        <v>24</v>
      </c>
      <c r="B34" s="30" t="s">
        <v>144</v>
      </c>
      <c r="C34" s="31" t="s">
        <v>151</v>
      </c>
      <c r="D34" s="37"/>
      <c r="E34" s="37"/>
      <c r="F34" s="37"/>
      <c r="G34" s="37"/>
      <c r="H34" s="37"/>
      <c r="I34" s="37"/>
      <c r="J34" s="37"/>
    </row>
    <row r="35" spans="1:10" ht="30.75" customHeight="1" collapsed="1" thickBot="1">
      <c r="A35" s="29">
        <v>15</v>
      </c>
      <c r="B35" s="38" t="s">
        <v>159</v>
      </c>
      <c r="C35" s="39" t="s">
        <v>151</v>
      </c>
      <c r="D35" s="32"/>
      <c r="E35" s="32"/>
      <c r="F35" s="32"/>
      <c r="G35" s="32"/>
      <c r="H35" s="32"/>
      <c r="I35" s="32"/>
      <c r="J35" s="32"/>
    </row>
  </sheetData>
  <sheetProtection/>
  <mergeCells count="1">
    <mergeCell ref="A2: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22">
      <selection activeCell="H1" sqref="H1:I1"/>
    </sheetView>
  </sheetViews>
  <sheetFormatPr defaultColWidth="9.140625" defaultRowHeight="12.75"/>
  <cols>
    <col min="9" max="9" width="13.421875" style="0" customWidth="1"/>
  </cols>
  <sheetData>
    <row r="1" spans="8:9" ht="12.75">
      <c r="H1" s="239" t="s">
        <v>153</v>
      </c>
      <c r="I1" s="239"/>
    </row>
    <row r="10" spans="1:7" ht="12.75">
      <c r="A10" s="7"/>
      <c r="B10" s="7"/>
      <c r="C10" s="7"/>
      <c r="D10" s="7"/>
      <c r="E10" s="7"/>
      <c r="F10" s="7"/>
      <c r="G10" s="7"/>
    </row>
    <row r="11" spans="1:9" ht="18">
      <c r="A11" s="240" t="s">
        <v>111</v>
      </c>
      <c r="B11" s="240"/>
      <c r="C11" s="240"/>
      <c r="D11" s="240"/>
      <c r="E11" s="240"/>
      <c r="F11" s="240"/>
      <c r="G11" s="240"/>
      <c r="H11" s="240"/>
      <c r="I11" s="240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s="21" customFormat="1" ht="15">
      <c r="A13" s="241" t="s">
        <v>112</v>
      </c>
      <c r="B13" s="241"/>
      <c r="C13" s="241"/>
      <c r="D13" s="241"/>
      <c r="E13" s="241"/>
      <c r="F13" s="241"/>
      <c r="G13" s="241"/>
      <c r="H13" s="241"/>
      <c r="I13" s="241"/>
    </row>
    <row r="14" spans="1:9" s="21" customFormat="1" ht="15">
      <c r="A14" s="242"/>
      <c r="B14" s="242"/>
      <c r="C14" s="242"/>
      <c r="D14" s="242"/>
      <c r="E14" s="242"/>
      <c r="F14" s="242"/>
      <c r="G14" s="242"/>
      <c r="H14" s="242"/>
      <c r="I14" s="242"/>
    </row>
    <row r="15" spans="1:9" s="21" customFormat="1" ht="15">
      <c r="A15" s="237" t="s">
        <v>113</v>
      </c>
      <c r="B15" s="237"/>
      <c r="C15" s="237"/>
      <c r="D15" s="237"/>
      <c r="E15" s="237"/>
      <c r="F15" s="237"/>
      <c r="G15" s="237"/>
      <c r="H15" s="237"/>
      <c r="I15" s="237"/>
    </row>
    <row r="16" spans="1:9" s="21" customFormat="1" ht="15">
      <c r="A16" s="23"/>
      <c r="B16" s="23"/>
      <c r="C16" s="23"/>
      <c r="D16" s="23"/>
      <c r="E16" s="23"/>
      <c r="F16" s="23"/>
      <c r="G16" s="23"/>
      <c r="H16" s="23"/>
      <c r="I16" s="23"/>
    </row>
    <row r="17" spans="1:9" s="21" customFormat="1" ht="15">
      <c r="A17" s="241" t="s">
        <v>114</v>
      </c>
      <c r="B17" s="241"/>
      <c r="C17" s="241"/>
      <c r="D17" s="241"/>
      <c r="E17" s="241"/>
      <c r="F17" s="241"/>
      <c r="G17" s="241"/>
      <c r="H17" s="241"/>
      <c r="I17" s="241"/>
    </row>
    <row r="18" spans="1:9" s="21" customFormat="1" ht="15">
      <c r="A18" s="242"/>
      <c r="B18" s="242"/>
      <c r="C18" s="242"/>
      <c r="D18" s="242"/>
      <c r="E18" s="242"/>
      <c r="F18" s="242"/>
      <c r="G18" s="242"/>
      <c r="H18" s="242"/>
      <c r="I18" s="242"/>
    </row>
    <row r="19" spans="1:9" s="21" customFormat="1" ht="15">
      <c r="A19" s="237" t="s">
        <v>115</v>
      </c>
      <c r="B19" s="237"/>
      <c r="C19" s="237"/>
      <c r="D19" s="237"/>
      <c r="E19" s="237"/>
      <c r="F19" s="237"/>
      <c r="G19" s="237"/>
      <c r="H19" s="237"/>
      <c r="I19" s="237"/>
    </row>
    <row r="20" spans="1:9" s="21" customFormat="1" ht="15">
      <c r="A20" s="23"/>
      <c r="B20" s="23"/>
      <c r="C20" s="23"/>
      <c r="D20" s="23"/>
      <c r="E20" s="23"/>
      <c r="F20" s="23"/>
      <c r="G20" s="23"/>
      <c r="H20" s="23"/>
      <c r="I20" s="23"/>
    </row>
    <row r="21" spans="1:9" s="21" customFormat="1" ht="17.25" customHeight="1">
      <c r="A21" s="238" t="s">
        <v>116</v>
      </c>
      <c r="B21" s="238"/>
      <c r="C21" s="238"/>
      <c r="D21" s="238"/>
      <c r="E21" s="238"/>
      <c r="F21" s="238"/>
      <c r="G21" s="238"/>
      <c r="H21" s="238"/>
      <c r="I21" s="238"/>
    </row>
    <row r="22" spans="1:9" s="21" customFormat="1" ht="17.25" customHeight="1">
      <c r="A22" s="244" t="s">
        <v>117</v>
      </c>
      <c r="B22" s="244"/>
      <c r="C22" s="244"/>
      <c r="D22" s="244"/>
      <c r="E22" s="244"/>
      <c r="F22" s="244"/>
      <c r="G22" s="244"/>
      <c r="H22" s="244"/>
      <c r="I22" s="244"/>
    </row>
    <row r="23" spans="1:9" s="21" customFormat="1" ht="15">
      <c r="A23" s="237" t="s">
        <v>118</v>
      </c>
      <c r="B23" s="237"/>
      <c r="C23" s="237"/>
      <c r="D23" s="237"/>
      <c r="E23" s="237"/>
      <c r="F23" s="237"/>
      <c r="G23" s="237"/>
      <c r="H23" s="237"/>
      <c r="I23" s="237"/>
    </row>
    <row r="24" spans="1:9" s="21" customFormat="1" ht="15">
      <c r="A24" s="22"/>
      <c r="B24" s="22"/>
      <c r="C24" s="22"/>
      <c r="D24" s="22"/>
      <c r="E24" s="22"/>
      <c r="F24" s="22"/>
      <c r="G24" s="22"/>
      <c r="H24" s="22"/>
      <c r="I24" s="22"/>
    </row>
    <row r="25" spans="1:9" s="21" customFormat="1" ht="21" customHeight="1">
      <c r="A25" s="238" t="s">
        <v>119</v>
      </c>
      <c r="B25" s="238"/>
      <c r="C25" s="238"/>
      <c r="D25" s="238"/>
      <c r="E25" s="238"/>
      <c r="F25" s="238"/>
      <c r="G25" s="238"/>
      <c r="H25" s="238"/>
      <c r="I25" s="238"/>
    </row>
    <row r="26" spans="1:9" s="21" customFormat="1" ht="21" customHeight="1">
      <c r="A26" s="24"/>
      <c r="B26" s="24"/>
      <c r="C26" s="24"/>
      <c r="D26" s="24"/>
      <c r="E26" s="24"/>
      <c r="F26" s="24"/>
      <c r="G26" s="24"/>
      <c r="H26" s="24"/>
      <c r="I26" s="24"/>
    </row>
    <row r="27" spans="1:9" s="21" customFormat="1" ht="21" customHeight="1">
      <c r="A27" s="238" t="s">
        <v>120</v>
      </c>
      <c r="B27" s="238"/>
      <c r="C27" s="238"/>
      <c r="D27" s="238"/>
      <c r="E27" s="238"/>
      <c r="F27" s="238"/>
      <c r="G27" s="238"/>
      <c r="H27" s="238"/>
      <c r="I27" s="238"/>
    </row>
    <row r="28" spans="1:9" s="21" customFormat="1" ht="21" customHeight="1">
      <c r="A28" s="243" t="s">
        <v>154</v>
      </c>
      <c r="B28" s="243"/>
      <c r="C28" s="243"/>
      <c r="D28" s="243"/>
      <c r="E28" s="243"/>
      <c r="F28" s="243"/>
      <c r="G28" s="243"/>
      <c r="H28" s="243"/>
      <c r="I28" s="243"/>
    </row>
    <row r="29" spans="1:9" s="21" customFormat="1" ht="15">
      <c r="A29" s="25"/>
      <c r="B29" s="25"/>
      <c r="C29" s="25"/>
      <c r="D29" s="25"/>
      <c r="E29" s="25"/>
      <c r="F29" s="25"/>
      <c r="G29" s="25"/>
      <c r="H29" s="25"/>
      <c r="I29" s="25"/>
    </row>
    <row r="30" s="21" customFormat="1" ht="15"/>
    <row r="31" spans="1:6" s="21" customFormat="1" ht="15">
      <c r="A31" s="21" t="s">
        <v>145</v>
      </c>
      <c r="F31" s="21" t="s">
        <v>146</v>
      </c>
    </row>
    <row r="32" s="21" customFormat="1" ht="15"/>
    <row r="33" s="21" customFormat="1" ht="15">
      <c r="A33" s="21" t="s">
        <v>147</v>
      </c>
    </row>
  </sheetData>
  <sheetProtection/>
  <mergeCells count="12">
    <mergeCell ref="A27:I27"/>
    <mergeCell ref="A28:I28"/>
    <mergeCell ref="A17:I18"/>
    <mergeCell ref="A19:I19"/>
    <mergeCell ref="A21:I21"/>
    <mergeCell ref="A22:I22"/>
    <mergeCell ref="A23:I23"/>
    <mergeCell ref="A25:I25"/>
    <mergeCell ref="H1:I1"/>
    <mergeCell ref="A11:I11"/>
    <mergeCell ref="A13:I14"/>
    <mergeCell ref="A15:I15"/>
  </mergeCells>
  <printOptions/>
  <pageMargins left="1.141732283464567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="75" zoomScaleNormal="75" zoomScalePageLayoutView="0" workbookViewId="0" topLeftCell="A10">
      <selection activeCell="F41" sqref="A38:F41"/>
    </sheetView>
  </sheetViews>
  <sheetFormatPr defaultColWidth="9.140625" defaultRowHeight="12.75" outlineLevelRow="1" outlineLevelCol="2"/>
  <cols>
    <col min="1" max="1" width="9.140625" style="2" customWidth="1"/>
    <col min="2" max="2" width="47.7109375" style="4" customWidth="1"/>
    <col min="3" max="3" width="15.00390625" style="0" hidden="1" customWidth="1" outlineLevel="2"/>
    <col min="4" max="4" width="17.00390625" style="0" hidden="1" customWidth="1" outlineLevel="2"/>
    <col min="5" max="5" width="16.140625" style="0" customWidth="1" collapsed="1"/>
    <col min="6" max="6" width="16.28125" style="0" customWidth="1"/>
    <col min="7" max="7" width="17.7109375" style="0" customWidth="1"/>
    <col min="8" max="8" width="16.8515625" style="0" customWidth="1"/>
    <col min="9" max="9" width="17.57421875" style="0" customWidth="1"/>
    <col min="10" max="10" width="16.28125" style="0" customWidth="1"/>
    <col min="11" max="11" width="16.421875" style="0" customWidth="1"/>
    <col min="12" max="12" width="16.28125" style="0" customWidth="1"/>
    <col min="13" max="13" width="17.57421875" style="0" customWidth="1"/>
    <col min="14" max="14" width="16.57421875" style="0" customWidth="1"/>
    <col min="15" max="16" width="17.57421875" style="0" customWidth="1"/>
    <col min="17" max="17" width="11.421875" style="0" customWidth="1"/>
  </cols>
  <sheetData>
    <row r="1" ht="4.5" customHeight="1"/>
    <row r="2" spans="1:4" s="43" customFormat="1" ht="18.75">
      <c r="A2" s="252"/>
      <c r="B2" s="252"/>
      <c r="C2" s="252"/>
      <c r="D2" s="252"/>
    </row>
    <row r="3" spans="1:4" s="43" customFormat="1" ht="18.75">
      <c r="A3" s="45"/>
      <c r="B3" s="45"/>
      <c r="C3" s="45"/>
      <c r="D3" s="45"/>
    </row>
    <row r="4" spans="1:4" ht="17.25">
      <c r="A4" s="3"/>
      <c r="B4" s="5"/>
      <c r="C4" s="1"/>
      <c r="D4" s="46" t="s">
        <v>15</v>
      </c>
    </row>
    <row r="5" spans="1:17" ht="18.75" customHeight="1">
      <c r="A5" s="253" t="s">
        <v>0</v>
      </c>
      <c r="B5" s="254" t="s">
        <v>237</v>
      </c>
      <c r="C5" s="256" t="s">
        <v>238</v>
      </c>
      <c r="D5" s="256"/>
      <c r="E5" s="245" t="s">
        <v>230</v>
      </c>
      <c r="F5" s="245" t="s">
        <v>232</v>
      </c>
      <c r="G5" s="245" t="s">
        <v>233</v>
      </c>
      <c r="H5" s="245" t="s">
        <v>234</v>
      </c>
      <c r="I5" s="245" t="s">
        <v>242</v>
      </c>
      <c r="J5" s="245" t="s">
        <v>249</v>
      </c>
      <c r="K5" s="245" t="s">
        <v>252</v>
      </c>
      <c r="L5" s="245" t="s">
        <v>254</v>
      </c>
      <c r="M5" s="245" t="s">
        <v>260</v>
      </c>
      <c r="N5" s="245" t="s">
        <v>263</v>
      </c>
      <c r="O5" s="245" t="s">
        <v>266</v>
      </c>
      <c r="P5" s="245" t="s">
        <v>270</v>
      </c>
      <c r="Q5" s="247" t="s">
        <v>269</v>
      </c>
    </row>
    <row r="6" spans="1:17" ht="60" customHeight="1">
      <c r="A6" s="253"/>
      <c r="B6" s="255"/>
      <c r="C6" s="256"/>
      <c r="D6" s="25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8"/>
    </row>
    <row r="7" spans="1:17" ht="45" customHeight="1">
      <c r="A7" s="253"/>
      <c r="B7" s="255"/>
      <c r="C7" s="8" t="s">
        <v>190</v>
      </c>
      <c r="D7" s="8" t="s">
        <v>42</v>
      </c>
      <c r="E7" s="8" t="s">
        <v>231</v>
      </c>
      <c r="F7" s="8" t="s">
        <v>231</v>
      </c>
      <c r="G7" s="8" t="s">
        <v>231</v>
      </c>
      <c r="H7" s="8" t="s">
        <v>231</v>
      </c>
      <c r="I7" s="8" t="s">
        <v>231</v>
      </c>
      <c r="J7" s="8" t="s">
        <v>231</v>
      </c>
      <c r="K7" s="8" t="s">
        <v>231</v>
      </c>
      <c r="L7" s="8" t="s">
        <v>231</v>
      </c>
      <c r="M7" s="8" t="s">
        <v>231</v>
      </c>
      <c r="N7" s="8" t="s">
        <v>231</v>
      </c>
      <c r="O7" s="8" t="s">
        <v>231</v>
      </c>
      <c r="P7" s="8" t="s">
        <v>231</v>
      </c>
      <c r="Q7" s="8" t="s">
        <v>231</v>
      </c>
    </row>
    <row r="8" spans="1:17" ht="12.75">
      <c r="A8" s="19" t="s">
        <v>16</v>
      </c>
      <c r="B8" s="9">
        <v>2</v>
      </c>
      <c r="C8" s="10">
        <v>3</v>
      </c>
      <c r="D8" s="10">
        <v>4</v>
      </c>
      <c r="E8" s="10">
        <v>4</v>
      </c>
      <c r="F8" s="10">
        <v>4</v>
      </c>
      <c r="G8" s="10">
        <v>4</v>
      </c>
      <c r="H8" s="10">
        <v>4</v>
      </c>
      <c r="I8" s="10">
        <v>4</v>
      </c>
      <c r="J8" s="10">
        <v>4</v>
      </c>
      <c r="K8" s="10">
        <v>4</v>
      </c>
      <c r="L8" s="10">
        <v>4</v>
      </c>
      <c r="M8" s="10">
        <v>4</v>
      </c>
      <c r="N8" s="10">
        <v>4</v>
      </c>
      <c r="O8" s="10">
        <v>4</v>
      </c>
      <c r="P8" s="10">
        <v>4</v>
      </c>
      <c r="Q8" s="10">
        <v>4</v>
      </c>
    </row>
    <row r="9" spans="1:17" s="61" customFormat="1" ht="18" customHeight="1">
      <c r="A9" s="55" t="s">
        <v>16</v>
      </c>
      <c r="B9" s="47" t="s">
        <v>186</v>
      </c>
      <c r="C9" s="56">
        <f>C10+C15+C16+C20</f>
        <v>7203.237999999999</v>
      </c>
      <c r="D9" s="59">
        <f aca="true" t="shared" si="0" ref="D9:D29">C9/$C$46</f>
        <v>8.912692402870576</v>
      </c>
      <c r="E9" s="59">
        <f>D9*'Розшифр. факт'!$D$87</f>
        <v>424.07481722098487</v>
      </c>
      <c r="F9" s="59">
        <f>D9*'Розшифр. факт'!$E$87</f>
        <v>479.5919781984657</v>
      </c>
      <c r="G9" s="59">
        <f>D9*'Розшифр. факт'!$F$87</f>
        <v>513.4245585597624</v>
      </c>
      <c r="H9" s="59">
        <f>D9*'Розшифр. факт'!$G$87</f>
        <v>496.87368876763173</v>
      </c>
      <c r="I9" s="59">
        <f>D9*'Розшифр. факт'!$H$87</f>
        <v>422.9696433630289</v>
      </c>
      <c r="J9" s="59">
        <f>D9*'Розшифр. факт'!$I$87</f>
        <v>448.66493556050483</v>
      </c>
      <c r="K9" s="59">
        <f>D9*'Розшифр. факт'!$J$87</f>
        <v>406.82875742143034</v>
      </c>
      <c r="L9" s="59">
        <f>D9*'Розшифр. факт'!$K$87</f>
        <v>514.5564704949269</v>
      </c>
      <c r="M9" s="59">
        <f>D9*'Розшифр. факт'!$L$87</f>
        <v>533.3087753105667</v>
      </c>
      <c r="N9" s="59">
        <f>D9*'Розшифр. факт'!$M$87</f>
        <v>514.5208197253155</v>
      </c>
      <c r="O9" s="59">
        <f>D9*'Розшифр. факт'!$N$87</f>
        <v>458.75410336055427</v>
      </c>
      <c r="P9" s="59">
        <f>D9*'Розшифр. факт'!$O$87</f>
        <v>478.7630978049987</v>
      </c>
      <c r="Q9" s="172">
        <f>SUM(E9:P9)</f>
        <v>5692.33164578817</v>
      </c>
    </row>
    <row r="10" spans="1:17" s="61" customFormat="1" ht="18" customHeight="1">
      <c r="A10" s="55" t="s">
        <v>1</v>
      </c>
      <c r="B10" s="47" t="s">
        <v>29</v>
      </c>
      <c r="C10" s="56">
        <f>SUM(C11:C14)</f>
        <v>2112.614</v>
      </c>
      <c r="D10" s="59">
        <f t="shared" si="0"/>
        <v>2.61397426379609</v>
      </c>
      <c r="E10" s="59">
        <f>D10*'Розшифр. факт'!$D$87</f>
        <v>124.37550944568177</v>
      </c>
      <c r="F10" s="59">
        <f>D10*'Розшифр. факт'!$E$87</f>
        <v>140.65795513486762</v>
      </c>
      <c r="G10" s="59">
        <f>D10*'Розшифр. факт'!$F$87</f>
        <v>150.58060144023756</v>
      </c>
      <c r="H10" s="59">
        <f>D10*'Розшифр. факт'!$G$87</f>
        <v>145.72645123236822</v>
      </c>
      <c r="I10" s="59">
        <f>D10*'Розшифр. факт'!$H$87</f>
        <v>124.05137663697106</v>
      </c>
      <c r="J10" s="59">
        <f>D10*'Розшифр. факт'!$I$87</f>
        <v>131.5874644394952</v>
      </c>
      <c r="K10" s="59">
        <f>D10*'Розшифр. факт'!$J$87</f>
        <v>119.31746924523632</v>
      </c>
      <c r="L10" s="59">
        <f>D10*'Розшифр. факт'!$K$87</f>
        <v>150.91257617173966</v>
      </c>
      <c r="M10" s="59">
        <f>D10*'Розшифр. факт'!$L$87</f>
        <v>156.41237802276666</v>
      </c>
      <c r="N10" s="59">
        <f>D10*'Розшифр. факт'!$M$87</f>
        <v>150.90212027468448</v>
      </c>
      <c r="O10" s="59">
        <f>D10*'Розшифр. факт'!$N$87</f>
        <v>134.54648330611235</v>
      </c>
      <c r="P10" s="59">
        <f>D10*'Розшифр. факт'!$O$87</f>
        <v>140.41485552833456</v>
      </c>
      <c r="Q10" s="172">
        <f aca="true" t="shared" si="1" ref="Q10:Q37">SUM(E10:P10)</f>
        <v>1669.4852408784955</v>
      </c>
    </row>
    <row r="11" spans="1:17" ht="18" customHeight="1">
      <c r="A11" s="15" t="s">
        <v>17</v>
      </c>
      <c r="B11" s="16" t="s">
        <v>91</v>
      </c>
      <c r="C11" s="49">
        <f>'Розшифр. факт'!C5</f>
        <v>2104.285</v>
      </c>
      <c r="D11" s="58">
        <f t="shared" si="0"/>
        <v>2.6036686463746594</v>
      </c>
      <c r="E11" s="89">
        <f>D11*'Розшифр. факт'!$D$87</f>
        <v>123.88515786315268</v>
      </c>
      <c r="F11" s="89">
        <f>D11*'Розшифр. факт'!$E$87</f>
        <v>140.10340986142043</v>
      </c>
      <c r="G11" s="89">
        <f>D11*'Розшифр. факт'!$F$87</f>
        <v>149.98693604305865</v>
      </c>
      <c r="H11" s="89">
        <f>D11*'Розшифр. факт'!$G$87</f>
        <v>145.1519233667409</v>
      </c>
      <c r="I11" s="89">
        <f>D11*'Розшифр. факт'!$H$87</f>
        <v>123.56230295100221</v>
      </c>
      <c r="J11" s="59">
        <f>D11*'Розшифр. факт'!$I$87</f>
        <v>131.06867965850037</v>
      </c>
      <c r="K11" s="59">
        <f>D11*'Розшифр. факт'!$J$87</f>
        <v>118.8470590324177</v>
      </c>
      <c r="L11" s="59">
        <f>D11*'Розшифр. факт'!$K$87</f>
        <v>150.3176019611482</v>
      </c>
      <c r="M11" s="59">
        <f>D11*'Розшифр. факт'!$L$87</f>
        <v>155.7957207931205</v>
      </c>
      <c r="N11" s="59">
        <f>D11*'Розшифр. факт'!$M$87</f>
        <v>150.3071872865627</v>
      </c>
      <c r="O11" s="59">
        <f>D11*'Розшифр. факт'!$N$87</f>
        <v>134.0160325661965</v>
      </c>
      <c r="P11" s="59">
        <f>D11*'Розшифр. факт'!$O$87</f>
        <v>139.86126867730758</v>
      </c>
      <c r="Q11" s="172">
        <f t="shared" si="1"/>
        <v>1662.9032800606287</v>
      </c>
    </row>
    <row r="12" spans="1:17" ht="27" customHeight="1">
      <c r="A12" s="15" t="s">
        <v>18</v>
      </c>
      <c r="B12" s="57" t="s">
        <v>162</v>
      </c>
      <c r="C12" s="49">
        <v>0</v>
      </c>
      <c r="D12" s="58">
        <f t="shared" si="0"/>
        <v>0</v>
      </c>
      <c r="E12" s="89">
        <f>D12*'Розшифр. факт'!$D$87</f>
        <v>0</v>
      </c>
      <c r="F12" s="89">
        <f>D12*'Розшифр. факт'!$E$87</f>
        <v>0</v>
      </c>
      <c r="G12" s="89">
        <f>D12*'Розшифр. факт'!$F$87</f>
        <v>0</v>
      </c>
      <c r="H12" s="89">
        <f>D12*'Розшифр. факт'!$G$87</f>
        <v>0</v>
      </c>
      <c r="I12" s="89">
        <f>D12*'Розшифр. факт'!$H$87</f>
        <v>0</v>
      </c>
      <c r="J12" s="89">
        <f>D12*'Розшифр. факт'!$I$87</f>
        <v>0</v>
      </c>
      <c r="K12" s="89">
        <f>D12*'Розшифр. факт'!$J$87</f>
        <v>0</v>
      </c>
      <c r="L12" s="89">
        <f>D12*'Розшифр. факт'!$K$87</f>
        <v>0</v>
      </c>
      <c r="M12" s="59">
        <f>D12*'Розшифр. факт'!$L$87</f>
        <v>0</v>
      </c>
      <c r="N12" s="59">
        <f>D12*'Розшифр. факт'!$M$87</f>
        <v>0</v>
      </c>
      <c r="O12" s="59">
        <f>D12*'Розшифр. факт'!$N$87</f>
        <v>0</v>
      </c>
      <c r="P12" s="59">
        <f>D12*'Розшифр. факт'!$O$87</f>
        <v>0</v>
      </c>
      <c r="Q12" s="172">
        <f t="shared" si="1"/>
        <v>0</v>
      </c>
    </row>
    <row r="13" spans="1:17" ht="18" customHeight="1">
      <c r="A13" s="15" t="s">
        <v>19</v>
      </c>
      <c r="B13" s="16" t="s">
        <v>163</v>
      </c>
      <c r="C13" s="49">
        <v>0</v>
      </c>
      <c r="D13" s="58">
        <f t="shared" si="0"/>
        <v>0</v>
      </c>
      <c r="E13" s="89">
        <f>D13*'Розшифр. факт'!$D$87</f>
        <v>0</v>
      </c>
      <c r="F13" s="89">
        <f>D13*'Розшифр. факт'!$E$87</f>
        <v>0</v>
      </c>
      <c r="G13" s="89">
        <f>D13*'Розшифр. факт'!$F$87</f>
        <v>0</v>
      </c>
      <c r="H13" s="89">
        <f>D13*'Розшифр. факт'!$G$87</f>
        <v>0</v>
      </c>
      <c r="I13" s="89">
        <f>D13*'Розшифр. факт'!$H$87</f>
        <v>0</v>
      </c>
      <c r="J13" s="89">
        <f>D13*'Розшифр. факт'!$I$87</f>
        <v>0</v>
      </c>
      <c r="K13" s="89">
        <f>D13*'Розшифр. факт'!$J$87</f>
        <v>0</v>
      </c>
      <c r="L13" s="89">
        <f>D13*'Розшифр. факт'!$K$87</f>
        <v>0</v>
      </c>
      <c r="M13" s="59">
        <f>D13*'Розшифр. факт'!$L$87</f>
        <v>0</v>
      </c>
      <c r="N13" s="59">
        <f>D13*'Розшифр. факт'!$M$87</f>
        <v>0</v>
      </c>
      <c r="O13" s="59">
        <f>D13*'Розшифр. факт'!$N$87</f>
        <v>0</v>
      </c>
      <c r="P13" s="59">
        <f>D13*'Розшифр. факт'!$O$87</f>
        <v>0</v>
      </c>
      <c r="Q13" s="172">
        <f t="shared" si="1"/>
        <v>0</v>
      </c>
    </row>
    <row r="14" spans="1:17" ht="27.75" customHeight="1">
      <c r="A14" s="15" t="s">
        <v>164</v>
      </c>
      <c r="B14" s="16" t="s">
        <v>165</v>
      </c>
      <c r="C14" s="49">
        <f>'Розшифр. факт'!C6</f>
        <v>8.329</v>
      </c>
      <c r="D14" s="58">
        <f t="shared" si="0"/>
        <v>0.01030561742143034</v>
      </c>
      <c r="E14" s="89">
        <f>D14*'Розшифр. факт'!$D$87</f>
        <v>0.490351582529077</v>
      </c>
      <c r="F14" s="89">
        <f>D14*'Розшифр. факт'!$E$87</f>
        <v>0.5545452734471666</v>
      </c>
      <c r="G14" s="89">
        <f>D14*'Розшифр. факт'!$F$87</f>
        <v>0.5936653971789162</v>
      </c>
      <c r="H14" s="89">
        <f>D14*'Розшифр. факт'!$G$87</f>
        <v>0.5745278656273201</v>
      </c>
      <c r="I14" s="89">
        <f>D14*'Розшифр. факт'!$H$87</f>
        <v>0.48907368596881967</v>
      </c>
      <c r="J14" s="89">
        <f>D14*'Розшифр. факт'!$I$87</f>
        <v>0.5187847809948033</v>
      </c>
      <c r="K14" s="89">
        <f>D14*'Розшифр. факт'!$J$87</f>
        <v>0.4704102128186093</v>
      </c>
      <c r="L14" s="89">
        <f>D14*'Розшифр. факт'!$K$87</f>
        <v>0.5949742105914377</v>
      </c>
      <c r="M14" s="59">
        <f>D14*'Розшифр. факт'!$L$87</f>
        <v>0.6166572296461272</v>
      </c>
      <c r="N14" s="59">
        <f>D14*'Розшифр. факт'!$M$87</f>
        <v>0.5949329881217521</v>
      </c>
      <c r="O14" s="59">
        <f>D14*'Розшифр. факт'!$N$87</f>
        <v>0.5304507399158624</v>
      </c>
      <c r="P14" s="59">
        <f>D14*'Розшифр. факт'!$O$87</f>
        <v>0.5535868510269736</v>
      </c>
      <c r="Q14" s="172">
        <f t="shared" si="1"/>
        <v>6.581960817866865</v>
      </c>
    </row>
    <row r="15" spans="1:17" ht="18" customHeight="1">
      <c r="A15" s="55" t="s">
        <v>2</v>
      </c>
      <c r="B15" s="47" t="s">
        <v>30</v>
      </c>
      <c r="C15" s="56">
        <f>'Розшифр. факт'!C8</f>
        <v>1433.557</v>
      </c>
      <c r="D15" s="59">
        <f t="shared" si="0"/>
        <v>1.7737651571393218</v>
      </c>
      <c r="E15" s="59">
        <f>D15*'Розшифр. факт'!$D$87</f>
        <v>84.39751994184607</v>
      </c>
      <c r="F15" s="59">
        <f>D15*'Розшифр. факт'!$E$87</f>
        <v>95.44630310566691</v>
      </c>
      <c r="G15" s="59">
        <f>D15*'Розшифр. факт'!$F$87</f>
        <v>102.17951564216777</v>
      </c>
      <c r="H15" s="59">
        <f>D15*'Розшифр. факт'!$G$87</f>
        <v>98.88563374536005</v>
      </c>
      <c r="I15" s="127">
        <f>D15*'Розшифр. факт'!$H$87</f>
        <v>84.17757306236079</v>
      </c>
      <c r="J15" s="127">
        <f>D15*'Розшифр. факт'!$I$87</f>
        <v>89.29133801039346</v>
      </c>
      <c r="K15" s="127">
        <f>D15*'Розшифр. факт'!$J$87</f>
        <v>80.96528436278149</v>
      </c>
      <c r="L15" s="127">
        <f>D15*'Розшифр. факт'!$K$87</f>
        <v>102.40478381712447</v>
      </c>
      <c r="M15" s="59">
        <f>D15*'Розшифр. факт'!$L$87</f>
        <v>106.1367857077456</v>
      </c>
      <c r="N15" s="59">
        <f>D15*'Розшифр. факт'!$M$87</f>
        <v>102.39768875649591</v>
      </c>
      <c r="O15" s="59">
        <f>D15*'Розшифр. факт'!$N$87</f>
        <v>91.29924016827518</v>
      </c>
      <c r="P15" s="59">
        <f>D15*'Розшифр. факт'!$O$87</f>
        <v>95.28134294605294</v>
      </c>
      <c r="Q15" s="172">
        <f t="shared" si="1"/>
        <v>1132.8630092662706</v>
      </c>
    </row>
    <row r="16" spans="1:17" ht="18" customHeight="1">
      <c r="A16" s="55" t="s">
        <v>3</v>
      </c>
      <c r="B16" s="47" t="s">
        <v>31</v>
      </c>
      <c r="C16" s="56">
        <f>SUM(C17:C19)</f>
        <v>1252.3899999999999</v>
      </c>
      <c r="D16" s="59">
        <f t="shared" si="0"/>
        <v>1.5496040584013855</v>
      </c>
      <c r="E16" s="59">
        <f>D16*'Розшифр. факт'!$D$87</f>
        <v>73.73171070279633</v>
      </c>
      <c r="F16" s="59">
        <f>D16*'Розшифр. факт'!$E$87</f>
        <v>83.38419438257856</v>
      </c>
      <c r="G16" s="59">
        <f>D16*'Розшифр. факт'!$F$87</f>
        <v>89.26649138827021</v>
      </c>
      <c r="H16" s="59">
        <f>D16*'Розшифр. факт'!$G$87</f>
        <v>86.38887665181885</v>
      </c>
      <c r="I16" s="59">
        <f>D16*'Розшифр. факт'!$H$87</f>
        <v>73.53955979955455</v>
      </c>
      <c r="J16" s="59">
        <f>D16*'Розшифр. факт'!$I$87</f>
        <v>78.00706829992575</v>
      </c>
      <c r="K16" s="59">
        <f>D16*'Розшифр. факт'!$J$87</f>
        <v>70.73322684978965</v>
      </c>
      <c r="L16" s="59">
        <f>D16*'Розшифр. факт'!$K$87</f>
        <v>89.46329110368718</v>
      </c>
      <c r="M16" s="59">
        <f>D16*'Розшифр. факт'!$L$87</f>
        <v>92.72365804256371</v>
      </c>
      <c r="N16" s="59">
        <f>D16*'Розшифр. факт'!$M$87</f>
        <v>89.45709268745358</v>
      </c>
      <c r="O16" s="59">
        <f>D16*'Розшифр. факт'!$N$87</f>
        <v>79.76122009403612</v>
      </c>
      <c r="P16" s="59">
        <f>D16*'Розшифр. факт'!$O$87</f>
        <v>83.24008120514722</v>
      </c>
      <c r="Q16" s="172">
        <f t="shared" si="1"/>
        <v>989.6964712076218</v>
      </c>
    </row>
    <row r="17" spans="1:17" ht="18" customHeight="1">
      <c r="A17" s="15" t="s">
        <v>20</v>
      </c>
      <c r="B17" s="16" t="s">
        <v>166</v>
      </c>
      <c r="C17" s="49">
        <f>'Розшифр. факт'!C10</f>
        <v>529.269</v>
      </c>
      <c r="D17" s="58">
        <f t="shared" si="0"/>
        <v>0.6548737936154417</v>
      </c>
      <c r="E17" s="58">
        <f>D17*'Розшифр. факт'!$D$87</f>
        <v>31.159549974016336</v>
      </c>
      <c r="F17" s="58">
        <f>D17*'Розшифр. факт'!$E$87</f>
        <v>35.23875883444692</v>
      </c>
      <c r="G17" s="58">
        <f>D17*'Розшифр. факт'!$F$87</f>
        <v>37.72465975501114</v>
      </c>
      <c r="H17" s="58">
        <f>D17*'Розшифр. факт'!$G$87</f>
        <v>36.508559120267265</v>
      </c>
      <c r="I17" s="128">
        <f>D17*'Розшифр. факт'!$H$87</f>
        <v>31.07834562360802</v>
      </c>
      <c r="J17" s="157">
        <f>D17*'Розшифр. факт'!$I$87</f>
        <v>32.96634677060134</v>
      </c>
      <c r="K17" s="157">
        <f>D17*'Розшифр. факт'!$J$87</f>
        <v>29.892369183370455</v>
      </c>
      <c r="L17" s="157">
        <f>D17*'Розшифр. факт'!$K$87</f>
        <v>37.807828726800295</v>
      </c>
      <c r="M17" s="59">
        <f>D17*'Розшифр. факт'!$L$87</f>
        <v>39.18568318856719</v>
      </c>
      <c r="N17" s="59">
        <f>D17*'Розшифр. факт'!$M$87</f>
        <v>37.80520923162584</v>
      </c>
      <c r="O17" s="59">
        <f>D17*'Розшифр. факт'!$N$87</f>
        <v>33.70766390497402</v>
      </c>
      <c r="P17" s="59">
        <f>D17*'Розшифр. факт'!$O$87</f>
        <v>35.177855571640684</v>
      </c>
      <c r="Q17" s="172">
        <f t="shared" si="1"/>
        <v>418.25282988492944</v>
      </c>
    </row>
    <row r="18" spans="1:17" ht="18" customHeight="1">
      <c r="A18" s="15" t="s">
        <v>21</v>
      </c>
      <c r="B18" s="16" t="s">
        <v>167</v>
      </c>
      <c r="C18" s="51">
        <v>0</v>
      </c>
      <c r="D18" s="58">
        <f t="shared" si="0"/>
        <v>0</v>
      </c>
      <c r="E18" s="58">
        <f>D18*'Розшифр. факт'!$D$87</f>
        <v>0</v>
      </c>
      <c r="F18" s="58">
        <f>D18*'Розшифр. факт'!$E$87</f>
        <v>0</v>
      </c>
      <c r="G18" s="58">
        <f>D18*'Розшифр. факт'!$F$87</f>
        <v>0</v>
      </c>
      <c r="H18" s="58">
        <f>D18*'Розшифр. факт'!$G$87</f>
        <v>0</v>
      </c>
      <c r="I18" s="58">
        <f>D18*'Розшифр. факт'!$H$87</f>
        <v>0</v>
      </c>
      <c r="J18" s="89">
        <f>D18*'Розшифр. факт'!$I$87</f>
        <v>0</v>
      </c>
      <c r="K18" s="89">
        <f>D18*'Розшифр. факт'!$J$87</f>
        <v>0</v>
      </c>
      <c r="L18" s="89">
        <f>D18*'Розшифр. факт'!$K$87</f>
        <v>0</v>
      </c>
      <c r="M18" s="59">
        <f>D18*'Розшифр. факт'!$L$87</f>
        <v>0</v>
      </c>
      <c r="N18" s="59">
        <f>D18*'Розшифр. факт'!$M$87</f>
        <v>0</v>
      </c>
      <c r="O18" s="59">
        <f>D18*'Розшифр. факт'!$N$87</f>
        <v>0</v>
      </c>
      <c r="P18" s="59">
        <f>D18*'Розшифр. факт'!$O$87</f>
        <v>0</v>
      </c>
      <c r="Q18" s="172">
        <f t="shared" si="1"/>
        <v>0</v>
      </c>
    </row>
    <row r="19" spans="1:17" ht="18" customHeight="1">
      <c r="A19" s="15" t="s">
        <v>22</v>
      </c>
      <c r="B19" s="16" t="s">
        <v>92</v>
      </c>
      <c r="C19" s="49">
        <v>723.121</v>
      </c>
      <c r="D19" s="58">
        <f t="shared" si="0"/>
        <v>0.894730264785944</v>
      </c>
      <c r="E19" s="58">
        <f>D19*'Розшифр. факт'!$D$87</f>
        <v>42.572160728780005</v>
      </c>
      <c r="F19" s="58">
        <f>D19*'Розшифр. факт'!$E$87</f>
        <v>48.145435548131644</v>
      </c>
      <c r="G19" s="58">
        <f>D19*'Розшифр. факт'!$F$87</f>
        <v>51.54183163325909</v>
      </c>
      <c r="H19" s="58">
        <f>D19*'Розшифр. факт'!$G$87</f>
        <v>49.88031753155159</v>
      </c>
      <c r="I19" s="58">
        <f>D19*'Розшифр. факт'!$H$87</f>
        <v>42.461214175946544</v>
      </c>
      <c r="J19" s="89">
        <f>D19*'Розшифр. факт'!$I$87</f>
        <v>45.04072152932442</v>
      </c>
      <c r="K19" s="89">
        <f>D19*'Розшифр. факт'!$J$87</f>
        <v>40.8408576664192</v>
      </c>
      <c r="L19" s="89">
        <f>D19*'Розшифр. факт'!$K$87</f>
        <v>51.6554623768869</v>
      </c>
      <c r="M19" s="59">
        <f>D19*'Розшифр. факт'!$L$87</f>
        <v>53.53797485399653</v>
      </c>
      <c r="N19" s="59">
        <f>D19*'Розшифр. факт'!$M$87</f>
        <v>51.65188345582776</v>
      </c>
      <c r="O19" s="59">
        <f>D19*'Розшифр. факт'!$N$87</f>
        <v>46.05355618906211</v>
      </c>
      <c r="P19" s="59">
        <f>D19*'Розшифр. факт'!$O$87</f>
        <v>48.06222563350655</v>
      </c>
      <c r="Q19" s="172">
        <f t="shared" si="1"/>
        <v>571.4436413226923</v>
      </c>
    </row>
    <row r="20" spans="1:17" s="61" customFormat="1" ht="18" customHeight="1">
      <c r="A20" s="55" t="s">
        <v>4</v>
      </c>
      <c r="B20" s="47" t="s">
        <v>32</v>
      </c>
      <c r="C20" s="56">
        <f>SUM(C21:C24)</f>
        <v>2404.6769999999997</v>
      </c>
      <c r="D20" s="59">
        <f t="shared" si="0"/>
        <v>2.9753489235337782</v>
      </c>
      <c r="E20" s="59">
        <f>D20*'Розшифр. факт'!$D$87</f>
        <v>141.5700771306607</v>
      </c>
      <c r="F20" s="59">
        <f>D20*'Розшифр. факт'!$E$87</f>
        <v>160.10352557535262</v>
      </c>
      <c r="G20" s="59">
        <f>D20*'Розшифр. факт'!$F$87</f>
        <v>171.39795008908683</v>
      </c>
      <c r="H20" s="59">
        <f>D20*'Розшифр. факт'!$G$87</f>
        <v>165.8727271380846</v>
      </c>
      <c r="I20" s="59">
        <f>D20*'Розшифр. факт'!$H$87</f>
        <v>141.20113386414252</v>
      </c>
      <c r="J20" s="59">
        <f>D20*'Розшифр. факт'!$I$87</f>
        <v>149.77906481069041</v>
      </c>
      <c r="K20" s="59">
        <f>D20*'Розшифр. факт'!$J$87</f>
        <v>135.81277696362284</v>
      </c>
      <c r="L20" s="59">
        <f>D20*'Розшифр. факт'!$K$87</f>
        <v>171.77581940237562</v>
      </c>
      <c r="M20" s="59">
        <f>D20*'Розшифр. факт'!$L$87</f>
        <v>178.03595353749068</v>
      </c>
      <c r="N20" s="59">
        <f>D20*'Розшифр. факт'!$M$87</f>
        <v>171.76391800668148</v>
      </c>
      <c r="O20" s="59">
        <f>D20*'Розшифр. факт'!$N$87</f>
        <v>153.14715979213062</v>
      </c>
      <c r="P20" s="59">
        <f>D20*'Розшифр. факт'!$O$87</f>
        <v>159.82681812546397</v>
      </c>
      <c r="Q20" s="172">
        <f t="shared" si="1"/>
        <v>1900.286924435783</v>
      </c>
    </row>
    <row r="21" spans="1:17" ht="18" customHeight="1">
      <c r="A21" s="52" t="s">
        <v>168</v>
      </c>
      <c r="B21" s="16" t="s">
        <v>75</v>
      </c>
      <c r="C21" s="49">
        <f>'Розшифр. факт'!C18+'Розшифр. факт'!C26</f>
        <v>1045.509</v>
      </c>
      <c r="D21" s="58">
        <f t="shared" si="0"/>
        <v>1.2936265775798068</v>
      </c>
      <c r="E21" s="58">
        <f>D21*'Розшифр. факт'!$D$87</f>
        <v>61.55204618782479</v>
      </c>
      <c r="F21" s="58">
        <f>D21*'Розшифр. факт'!$E$87</f>
        <v>69.6100461395694</v>
      </c>
      <c r="G21" s="58">
        <f>D21*'Розшифр. факт'!$F$87</f>
        <v>74.52065262806235</v>
      </c>
      <c r="H21" s="58">
        <f>D21*'Розшифр. факт'!$G$87</f>
        <v>72.11838807349665</v>
      </c>
      <c r="I21" s="128">
        <f>D21*'Розшифр. факт'!$H$87</f>
        <v>61.391636492204896</v>
      </c>
      <c r="J21" s="157">
        <f>D21*'Розшифр. факт'!$I$87</f>
        <v>65.12116191536748</v>
      </c>
      <c r="K21" s="157">
        <f>D21*'Розшифр. факт'!$J$87</f>
        <v>59.04887876020786</v>
      </c>
      <c r="L21" s="157">
        <f>D21*'Розшифр. факт'!$K$87</f>
        <v>74.68494320341499</v>
      </c>
      <c r="M21" s="59">
        <f>D21*'Розшифр. факт'!$L$87</f>
        <v>77.40673352264291</v>
      </c>
      <c r="N21" s="59">
        <f>D21*'Розшифр. факт'!$M$87</f>
        <v>74.67976869710466</v>
      </c>
      <c r="O21" s="59">
        <f>D21*'Розшифр. факт'!$N$87</f>
        <v>66.58554720118782</v>
      </c>
      <c r="P21" s="59">
        <f>D21*'Розшифр. факт'!$O$87</f>
        <v>69.48973886785448</v>
      </c>
      <c r="Q21" s="172">
        <f t="shared" si="1"/>
        <v>826.2095416889383</v>
      </c>
    </row>
    <row r="22" spans="1:17" ht="18" customHeight="1">
      <c r="A22" s="52" t="s">
        <v>169</v>
      </c>
      <c r="B22" s="16" t="s">
        <v>166</v>
      </c>
      <c r="C22" s="49">
        <f>'Розшифр. факт'!C19+'Розшифр. факт'!C27</f>
        <v>386.002</v>
      </c>
      <c r="D22" s="58">
        <f t="shared" si="0"/>
        <v>0.4776070279633754</v>
      </c>
      <c r="E22" s="58">
        <f>D22*'Розшифр. факт'!$D$87</f>
        <v>22.725019997525365</v>
      </c>
      <c r="F22" s="58">
        <f>D22*'Розшифр. факт'!$E$87</f>
        <v>25.70003417470923</v>
      </c>
      <c r="G22" s="58">
        <f>D22*'Розшифр. факт'!$F$87</f>
        <v>27.513030452858203</v>
      </c>
      <c r="H22" s="58">
        <f>D22*'Розшифр. факт'!$G$87</f>
        <v>26.626114201930218</v>
      </c>
      <c r="I22" s="128">
        <f>D22*'Розшифр. факт'!$H$87</f>
        <v>22.665796726057906</v>
      </c>
      <c r="J22" s="157">
        <f>D22*'Розшифр. факт'!$I$87</f>
        <v>24.04273778767632</v>
      </c>
      <c r="K22" s="157">
        <f>D22*'Розшифр. факт'!$J$87</f>
        <v>21.800850398416234</v>
      </c>
      <c r="L22" s="157">
        <f>D22*'Розшифр. факт'!$K$87</f>
        <v>27.57368654540955</v>
      </c>
      <c r="M22" s="59">
        <f>D22*'Розшифр. факт'!$L$87</f>
        <v>28.578571732244495</v>
      </c>
      <c r="N22" s="59">
        <f>D22*'Розшифр. факт'!$M$87</f>
        <v>27.5717761172977</v>
      </c>
      <c r="O22" s="59">
        <f>D22*'Розшифр. факт'!$N$87</f>
        <v>24.58338894333086</v>
      </c>
      <c r="P22" s="59">
        <f>D22*'Розшифр. факт'!$O$87</f>
        <v>25.655616721108636</v>
      </c>
      <c r="Q22" s="172">
        <f t="shared" si="1"/>
        <v>305.0366237985647</v>
      </c>
    </row>
    <row r="23" spans="1:17" ht="18" customHeight="1">
      <c r="A23" s="52" t="s">
        <v>170</v>
      </c>
      <c r="B23" s="16" t="s">
        <v>167</v>
      </c>
      <c r="C23" s="49">
        <f>'Розшифр. факт'!C21</f>
        <v>7.6</v>
      </c>
      <c r="D23" s="58">
        <f t="shared" si="0"/>
        <v>0.009403612967087353</v>
      </c>
      <c r="E23" s="58">
        <f>D23*'Розшифр. факт'!$D$87</f>
        <v>0.4474333085869834</v>
      </c>
      <c r="F23" s="58">
        <f>D23*'Розшифр. факт'!$E$87</f>
        <v>0.5060084137589705</v>
      </c>
      <c r="G23" s="58">
        <f>D23*'Розшифр. факт'!$F$87</f>
        <v>0.5417045285820341</v>
      </c>
      <c r="H23" s="58">
        <f>D23*'Розшифр. факт'!$G$87</f>
        <v>0.5242420193021529</v>
      </c>
      <c r="I23" s="58">
        <f>D23*'Розшифр. факт'!$H$87</f>
        <v>0.4462672605790645</v>
      </c>
      <c r="J23" s="89">
        <f>D23*'Розшифр. факт'!$I$87</f>
        <v>0.4733778767631774</v>
      </c>
      <c r="K23" s="89">
        <f>D23*'Розшифр. факт'!$J$87</f>
        <v>0.42923731749566935</v>
      </c>
      <c r="L23" s="89">
        <f>D23*'Розшифр. факт'!$K$87</f>
        <v>0.5428987874288541</v>
      </c>
      <c r="M23" s="59">
        <f>D23*'Розшифр. факт'!$L$87</f>
        <v>0.562683989111606</v>
      </c>
      <c r="N23" s="59">
        <f>D23*'Розшифр. факт'!$M$87</f>
        <v>0.5428611729769858</v>
      </c>
      <c r="O23" s="59">
        <f>D23*'Розшифр. факт'!$N$87</f>
        <v>0.4840227666419203</v>
      </c>
      <c r="P23" s="59">
        <f>D23*'Розшифр. факт'!$O$87</f>
        <v>0.5051338777530313</v>
      </c>
      <c r="Q23" s="172">
        <f t="shared" si="1"/>
        <v>6.005871318980449</v>
      </c>
    </row>
    <row r="24" spans="1:17" ht="18" customHeight="1">
      <c r="A24" s="52" t="s">
        <v>171</v>
      </c>
      <c r="B24" s="16" t="s">
        <v>172</v>
      </c>
      <c r="C24" s="49">
        <v>965.566</v>
      </c>
      <c r="D24" s="58">
        <f t="shared" si="0"/>
        <v>1.194711705023509</v>
      </c>
      <c r="E24" s="58">
        <f>D24*'Розшифр. факт'!$D$87</f>
        <v>56.84557763672358</v>
      </c>
      <c r="F24" s="58">
        <f>D24*'Розшифр. факт'!$E$87</f>
        <v>64.28743684731502</v>
      </c>
      <c r="G24" s="58">
        <f>D24*'Розшифр. факт'!$F$87</f>
        <v>68.82256247958426</v>
      </c>
      <c r="H24" s="58">
        <f>D24*'Розшифр. факт'!$G$87</f>
        <v>66.60398284335561</v>
      </c>
      <c r="I24" s="58">
        <f>D24*'Розшифр. факт'!$H$87</f>
        <v>56.69743338530067</v>
      </c>
      <c r="J24" s="89">
        <f>D24*'Розшифр. факт'!$I$87</f>
        <v>60.141787230883445</v>
      </c>
      <c r="K24" s="89">
        <f>D24*'Розшифр. факт'!$J$87</f>
        <v>54.53381048750309</v>
      </c>
      <c r="L24" s="89">
        <f>D24*'Розшифр. факт'!$K$87</f>
        <v>68.97429086612225</v>
      </c>
      <c r="M24" s="59">
        <f>D24*'Розшифр. факт'!$L$87</f>
        <v>71.48796429349171</v>
      </c>
      <c r="N24" s="59">
        <f>D24*'Розшифр. факт'!$M$87</f>
        <v>68.96951201930214</v>
      </c>
      <c r="O24" s="59">
        <f>D24*'Розшифр. факт'!$N$87</f>
        <v>61.494200880970055</v>
      </c>
      <c r="P24" s="59">
        <f>D24*'Розшифр. факт'!$O$87</f>
        <v>64.17632865874783</v>
      </c>
      <c r="Q24" s="172">
        <f t="shared" si="1"/>
        <v>763.0348876292996</v>
      </c>
    </row>
    <row r="25" spans="1:17" s="61" customFormat="1" ht="18" customHeight="1">
      <c r="A25" s="55" t="s">
        <v>23</v>
      </c>
      <c r="B25" s="47" t="s">
        <v>33</v>
      </c>
      <c r="C25" s="56">
        <f>SUM(C26:C29)</f>
        <v>563.436</v>
      </c>
      <c r="D25" s="59">
        <f t="shared" si="0"/>
        <v>0.6971492204899777</v>
      </c>
      <c r="E25" s="59">
        <f>D25*'Розшифр. факт'!$D$87</f>
        <v>33.171057060133634</v>
      </c>
      <c r="F25" s="59">
        <f>D25*'Розшифр. факт'!$E$87</f>
        <v>37.5135995545657</v>
      </c>
      <c r="G25" s="59">
        <f>D25*'Розшифр. факт'!$F$87</f>
        <v>40.15997799554566</v>
      </c>
      <c r="H25" s="59">
        <f>D25*'Розшифр. факт'!$G$87</f>
        <v>38.86537189309577</v>
      </c>
      <c r="I25" s="59">
        <f>D25*'Розшифр. факт'!$H$87</f>
        <v>33.084610556792875</v>
      </c>
      <c r="J25" s="59">
        <f>D25*'Розшифр. факт'!$I$87</f>
        <v>35.094491759465484</v>
      </c>
      <c r="K25" s="59">
        <f>D25*'Розшифр. факт'!$J$87</f>
        <v>31.822073318485526</v>
      </c>
      <c r="L25" s="59">
        <f>D25*'Розшифр. факт'!$K$87</f>
        <v>40.24851594654788</v>
      </c>
      <c r="M25" s="59">
        <f>D25*'Розшифр. факт'!$L$87</f>
        <v>41.7153179064588</v>
      </c>
      <c r="N25" s="59">
        <f>D25*'Розшифр. факт'!$M$87</f>
        <v>40.24572734966593</v>
      </c>
      <c r="O25" s="59">
        <f>D25*'Розшифр. факт'!$N$87</f>
        <v>35.88366467706013</v>
      </c>
      <c r="P25" s="59">
        <f>D25*'Розшифр. факт'!$O$87</f>
        <v>37.44876467706013</v>
      </c>
      <c r="Q25" s="172">
        <f t="shared" si="1"/>
        <v>445.25317269487755</v>
      </c>
    </row>
    <row r="26" spans="1:17" ht="18" customHeight="1">
      <c r="A26" s="52" t="s">
        <v>71</v>
      </c>
      <c r="B26" s="16" t="s">
        <v>75</v>
      </c>
      <c r="C26" s="49">
        <f>'Розшифр. факт'!C61</f>
        <v>334.392</v>
      </c>
      <c r="D26" s="58">
        <f t="shared" si="0"/>
        <v>0.4137490720118782</v>
      </c>
      <c r="E26" s="58">
        <f>D26*'Розшифр. факт'!$D$87</f>
        <v>19.686594595397178</v>
      </c>
      <c r="F26" s="58">
        <f>D26*'Розшифр. факт'!$E$87</f>
        <v>22.263837564959168</v>
      </c>
      <c r="G26" s="58">
        <f>D26*'Розшифр. факт'!$F$87</f>
        <v>23.834429042316255</v>
      </c>
      <c r="H26" s="58">
        <f>D26*'Розшифр. факт'!$G$87</f>
        <v>23.0660970155902</v>
      </c>
      <c r="I26" s="128">
        <f>D26*'Розшифр. факт'!$H$87</f>
        <v>19.635289710467706</v>
      </c>
      <c r="J26" s="157">
        <f>D26*'Розшифр. факт'!$I$87</f>
        <v>20.828128285077952</v>
      </c>
      <c r="K26" s="157">
        <f>D26*'Розшифр. факт'!$J$87</f>
        <v>18.885990141054194</v>
      </c>
      <c r="L26" s="157">
        <f>D26*'Розшифр. факт'!$K$87</f>
        <v>23.886975174461764</v>
      </c>
      <c r="M26" s="59">
        <f>D26*'Розшифр. факт'!$L$87</f>
        <v>24.75750322197476</v>
      </c>
      <c r="N26" s="59">
        <f>D26*'Розшифр. факт'!$M$87</f>
        <v>23.885320178173718</v>
      </c>
      <c r="O26" s="59">
        <f>D26*'Розшифр. факт'!$N$87</f>
        <v>21.296492234595394</v>
      </c>
      <c r="P26" s="59">
        <f>D26*'Розшифр. факт'!$O$87</f>
        <v>22.225358901262062</v>
      </c>
      <c r="Q26" s="172">
        <f t="shared" si="1"/>
        <v>264.25201606533034</v>
      </c>
    </row>
    <row r="27" spans="1:17" ht="18" customHeight="1">
      <c r="A27" s="52" t="s">
        <v>72</v>
      </c>
      <c r="B27" s="16" t="s">
        <v>166</v>
      </c>
      <c r="C27" s="49">
        <f>'Розшифр. факт'!C62</f>
        <v>123.458</v>
      </c>
      <c r="D27" s="58">
        <f t="shared" si="0"/>
        <v>0.1527567433803514</v>
      </c>
      <c r="E27" s="58">
        <f>D27*'Розшифр. факт'!$D$87</f>
        <v>7.2683186067805</v>
      </c>
      <c r="F27" s="58">
        <f>D27*'Розшифр. факт'!$E$87</f>
        <v>8.21984036129671</v>
      </c>
      <c r="G27" s="58">
        <f>D27*'Розшифр. факт'!$F$87</f>
        <v>8.799704959168523</v>
      </c>
      <c r="H27" s="58">
        <f>D27*'Розшифр. факт'!$G$87</f>
        <v>8.51603568671121</v>
      </c>
      <c r="I27" s="128">
        <f>D27*'Розшифр. факт'!$H$87</f>
        <v>7.249376770601336</v>
      </c>
      <c r="J27" s="157">
        <f>D27*'Розшифр. факт'!$I$87</f>
        <v>7.6897744617668895</v>
      </c>
      <c r="K27" s="157">
        <f>D27*'Розшифр. факт'!$J$87</f>
        <v>6.972734308339519</v>
      </c>
      <c r="L27" s="157">
        <f>D27*'Розшифр. факт'!$K$87</f>
        <v>8.819105065577826</v>
      </c>
      <c r="M27" s="59">
        <f>D27*'Розшифр. факт'!$L$87</f>
        <v>9.140505253650087</v>
      </c>
      <c r="N27" s="59">
        <f>D27*'Розшифр. факт'!$M$87</f>
        <v>8.818494038604305</v>
      </c>
      <c r="O27" s="59">
        <f>D27*'Розшифр. факт'!$N$87</f>
        <v>7.862695095273447</v>
      </c>
      <c r="P27" s="59">
        <f>D27*'Розшифр. факт'!$O$87</f>
        <v>8.205633984162336</v>
      </c>
      <c r="Q27" s="172">
        <f t="shared" si="1"/>
        <v>97.56221859193269</v>
      </c>
    </row>
    <row r="28" spans="1:17" ht="18" customHeight="1">
      <c r="A28" s="52" t="s">
        <v>73</v>
      </c>
      <c r="B28" s="16" t="s">
        <v>167</v>
      </c>
      <c r="C28" s="49">
        <f>'Розшифр. факт'!C66</f>
        <v>9.2</v>
      </c>
      <c r="D28" s="58">
        <f t="shared" si="0"/>
        <v>0.011383320960158375</v>
      </c>
      <c r="E28" s="58">
        <f>D28*'Розшифр. факт'!$D$87</f>
        <v>0.5416297946052957</v>
      </c>
      <c r="F28" s="58">
        <f>D28*'Розшифр. факт'!$E$87</f>
        <v>0.6125365008661222</v>
      </c>
      <c r="G28" s="58">
        <f>D28*'Розшифр. факт'!$F$87</f>
        <v>0.6557475872308833</v>
      </c>
      <c r="H28" s="58">
        <f>D28*'Розшифр. факт'!$G$87</f>
        <v>0.6346087602078693</v>
      </c>
      <c r="I28" s="58">
        <f>D28*'Розшифр. факт'!$H$87</f>
        <v>0.540218262806236</v>
      </c>
      <c r="J28" s="89">
        <f>D28*'Розшифр. факт'!$I$87</f>
        <v>0.5730363771343726</v>
      </c>
      <c r="K28" s="89">
        <f>D28*'Розшифр. факт'!$J$87</f>
        <v>0.5196030685473892</v>
      </c>
      <c r="L28" s="89">
        <f>D28*'Розшифр. факт'!$K$87</f>
        <v>0.6571932689928235</v>
      </c>
      <c r="M28" s="59">
        <f>D28*'Розшифр. факт'!$L$87</f>
        <v>0.6811437762929967</v>
      </c>
      <c r="N28" s="59">
        <f>D28*'Розшифр. факт'!$M$87</f>
        <v>0.6571477357089829</v>
      </c>
      <c r="O28" s="59">
        <f>D28*'Розшифр. факт'!$N$87</f>
        <v>0.5859222964612719</v>
      </c>
      <c r="P28" s="59">
        <f>D28*'Розшифр. факт'!$O$87</f>
        <v>0.6114778520168275</v>
      </c>
      <c r="Q28" s="172">
        <f t="shared" si="1"/>
        <v>7.27026528087107</v>
      </c>
    </row>
    <row r="29" spans="1:17" ht="18" customHeight="1">
      <c r="A29" s="52" t="s">
        <v>74</v>
      </c>
      <c r="B29" s="16" t="s">
        <v>172</v>
      </c>
      <c r="C29" s="49">
        <f>'Розшифр. факт'!C63+'Розшифр. факт'!C64+'Розшифр. факт'!C65+'Розшифр. факт'!C67+'Розшифр. факт'!C70+'Розшифр. факт'!C71+'Розшифр. факт'!C72+'Розшифр. факт'!C76</f>
        <v>96.38600000000001</v>
      </c>
      <c r="D29" s="58">
        <f t="shared" si="0"/>
        <v>0.1192600841375897</v>
      </c>
      <c r="E29" s="58">
        <f>D29*'Розшифр. факт'!$D$87</f>
        <v>5.674514063350657</v>
      </c>
      <c r="F29" s="58">
        <f>D29*'Розшифр. факт'!$E$87</f>
        <v>6.417385127443702</v>
      </c>
      <c r="G29" s="58">
        <f>D29*'Розшифр. факт'!$F$87</f>
        <v>6.870096406829993</v>
      </c>
      <c r="H29" s="58">
        <f>D29*'Розшифр. факт'!$G$87</f>
        <v>6.648630430586489</v>
      </c>
      <c r="I29" s="58">
        <f>D29*'Розшифр. факт'!$H$87</f>
        <v>5.6597258129175945</v>
      </c>
      <c r="J29" s="89">
        <f>D29*'Розшифр. факт'!$I$87</f>
        <v>6.003552635486266</v>
      </c>
      <c r="K29" s="89">
        <f>D29*'Розшифр. факт'!$J$87</f>
        <v>5.44374580054442</v>
      </c>
      <c r="L29" s="89">
        <f>D29*'Розшифр. факт'!$K$87</f>
        <v>6.885242437515466</v>
      </c>
      <c r="M29" s="59">
        <f>D29*'Розшифр. факт'!$L$87</f>
        <v>7.136165654540956</v>
      </c>
      <c r="N29" s="59">
        <f>D29*'Розшифр. факт'!$M$87</f>
        <v>6.884765397178916</v>
      </c>
      <c r="O29" s="59">
        <f>D29*'Розшифр. факт'!$N$87</f>
        <v>6.138555050730018</v>
      </c>
      <c r="P29" s="59">
        <f>D29*'Розшифр. факт'!$O$87</f>
        <v>6.406293939618906</v>
      </c>
      <c r="Q29" s="172">
        <f t="shared" si="1"/>
        <v>76.16867275674338</v>
      </c>
    </row>
    <row r="30" spans="1:17" ht="18" customHeight="1">
      <c r="A30" s="55" t="s">
        <v>5</v>
      </c>
      <c r="B30" s="47" t="s">
        <v>34</v>
      </c>
      <c r="C30" s="56">
        <f>SUM(C31:C34)</f>
        <v>0</v>
      </c>
      <c r="D30" s="59">
        <f>C30/$C$46</f>
        <v>0</v>
      </c>
      <c r="E30" s="59">
        <f>D30*'Розшифр. факт'!$D$87</f>
        <v>0</v>
      </c>
      <c r="F30" s="59">
        <f>D30*'Розшифр. факт'!$E$87</f>
        <v>0</v>
      </c>
      <c r="G30" s="59">
        <f>D30*'Розшифр. факт'!$F$87</f>
        <v>0</v>
      </c>
      <c r="H30" s="59">
        <f>D30*'Розшифр. факт'!$G$87</f>
        <v>0</v>
      </c>
      <c r="I30" s="59">
        <f>D30*'Розшифр. факт'!$H$87</f>
        <v>0</v>
      </c>
      <c r="J30" s="59">
        <f>D30*'Розшифр. факт'!$I$87</f>
        <v>0</v>
      </c>
      <c r="K30" s="59">
        <f>D30*'Розшифр. факт'!$J$87</f>
        <v>0</v>
      </c>
      <c r="L30" s="59">
        <f>D30*'Розшифр. факт'!$K$87</f>
        <v>0</v>
      </c>
      <c r="M30" s="59">
        <f>D30*'Розшифр. факт'!$L$87</f>
        <v>0</v>
      </c>
      <c r="N30" s="59">
        <f>D30*'Розшифр. факт'!$M$87</f>
        <v>0</v>
      </c>
      <c r="O30" s="59">
        <f>D30*'Розшифр. факт'!$N$87</f>
        <v>0</v>
      </c>
      <c r="P30" s="59">
        <f>D30*'Розшифр. факт'!$O$87</f>
        <v>0</v>
      </c>
      <c r="Q30" s="172">
        <f t="shared" si="1"/>
        <v>0</v>
      </c>
    </row>
    <row r="31" spans="1:17" ht="18" customHeight="1">
      <c r="A31" s="52" t="s">
        <v>173</v>
      </c>
      <c r="B31" s="16" t="s">
        <v>75</v>
      </c>
      <c r="C31" s="49">
        <v>0</v>
      </c>
      <c r="D31" s="59">
        <f aca="true" t="shared" si="2" ref="D31:D43">C31/$C$46</f>
        <v>0</v>
      </c>
      <c r="E31" s="89">
        <f>D31*'Розшифр. факт'!$D$87</f>
        <v>0</v>
      </c>
      <c r="F31" s="89">
        <f>D31*'Розшифр. факт'!$E$87</f>
        <v>0</v>
      </c>
      <c r="G31" s="89">
        <f>D31*'Розшифр. факт'!$F$87</f>
        <v>0</v>
      </c>
      <c r="H31" s="89">
        <f>D31*'Розшифр. факт'!$G$87</f>
        <v>0</v>
      </c>
      <c r="I31" s="89">
        <f>D31*'Розшифр. факт'!$H$87</f>
        <v>0</v>
      </c>
      <c r="J31" s="89">
        <f>D31*'Розшифр. факт'!$I$87</f>
        <v>0</v>
      </c>
      <c r="K31" s="89">
        <f>D31*'Розшифр. факт'!$J$87</f>
        <v>0</v>
      </c>
      <c r="L31" s="89">
        <f>D31*'Розшифр. факт'!$K$87</f>
        <v>0</v>
      </c>
      <c r="M31" s="59">
        <f>D31*'Розшифр. факт'!$L$87</f>
        <v>0</v>
      </c>
      <c r="N31" s="59">
        <f>D31*'Розшифр. факт'!$M$87</f>
        <v>0</v>
      </c>
      <c r="O31" s="59">
        <f>D31*'Розшифр. факт'!$N$87</f>
        <v>0</v>
      </c>
      <c r="P31" s="59">
        <f>D31*'Розшифр. факт'!$O$87</f>
        <v>0</v>
      </c>
      <c r="Q31" s="172">
        <f t="shared" si="1"/>
        <v>0</v>
      </c>
    </row>
    <row r="32" spans="1:17" ht="18" customHeight="1">
      <c r="A32" s="52" t="s">
        <v>174</v>
      </c>
      <c r="B32" s="16" t="s">
        <v>166</v>
      </c>
      <c r="C32" s="49">
        <v>0</v>
      </c>
      <c r="D32" s="59">
        <f t="shared" si="2"/>
        <v>0</v>
      </c>
      <c r="E32" s="89">
        <f>D32*'Розшифр. факт'!$D$87</f>
        <v>0</v>
      </c>
      <c r="F32" s="89">
        <f>D32*'Розшифр. факт'!$E$87</f>
        <v>0</v>
      </c>
      <c r="G32" s="89">
        <f>D32*'Розшифр. факт'!$F$87</f>
        <v>0</v>
      </c>
      <c r="H32" s="89">
        <f>D32*'Розшифр. факт'!$G$87</f>
        <v>0</v>
      </c>
      <c r="I32" s="89">
        <f>D32*'Розшифр. факт'!$H$87</f>
        <v>0</v>
      </c>
      <c r="J32" s="89">
        <f>D32*'Розшифр. факт'!$I$87</f>
        <v>0</v>
      </c>
      <c r="K32" s="89">
        <f>D32*'Розшифр. факт'!$J$87</f>
        <v>0</v>
      </c>
      <c r="L32" s="89">
        <f>D32*'Розшифр. факт'!$K$87</f>
        <v>0</v>
      </c>
      <c r="M32" s="59">
        <f>D32*'Розшифр. факт'!$L$87</f>
        <v>0</v>
      </c>
      <c r="N32" s="59">
        <f>D32*'Розшифр. факт'!$M$87</f>
        <v>0</v>
      </c>
      <c r="O32" s="59">
        <f>D32*'Розшифр. факт'!$N$87</f>
        <v>0</v>
      </c>
      <c r="P32" s="59">
        <f>D32*'Розшифр. факт'!$O$87</f>
        <v>0</v>
      </c>
      <c r="Q32" s="172">
        <f t="shared" si="1"/>
        <v>0</v>
      </c>
    </row>
    <row r="33" spans="1:17" ht="18" customHeight="1">
      <c r="A33" s="52" t="s">
        <v>175</v>
      </c>
      <c r="B33" s="16" t="s">
        <v>167</v>
      </c>
      <c r="C33" s="49">
        <v>0</v>
      </c>
      <c r="D33" s="59">
        <f t="shared" si="2"/>
        <v>0</v>
      </c>
      <c r="E33" s="89">
        <f>D33*'Розшифр. факт'!$D$87</f>
        <v>0</v>
      </c>
      <c r="F33" s="89">
        <f>D33*'Розшифр. факт'!$E$87</f>
        <v>0</v>
      </c>
      <c r="G33" s="89">
        <f>D33*'Розшифр. факт'!$F$87</f>
        <v>0</v>
      </c>
      <c r="H33" s="89">
        <f>D33*'Розшифр. факт'!$G$87</f>
        <v>0</v>
      </c>
      <c r="I33" s="89">
        <f>D33*'Розшифр. факт'!$H$87</f>
        <v>0</v>
      </c>
      <c r="J33" s="89">
        <f>D33*'Розшифр. факт'!$I$87</f>
        <v>0</v>
      </c>
      <c r="K33" s="89">
        <f>D33*'Розшифр. факт'!$J$87</f>
        <v>0</v>
      </c>
      <c r="L33" s="89">
        <f>D33*'Розшифр. факт'!$K$87</f>
        <v>0</v>
      </c>
      <c r="M33" s="59">
        <f>D33*'Розшифр. факт'!$L$87</f>
        <v>0</v>
      </c>
      <c r="N33" s="59">
        <f>D33*'Розшифр. факт'!$M$87</f>
        <v>0</v>
      </c>
      <c r="O33" s="59">
        <f>D33*'Розшифр. факт'!$N$87</f>
        <v>0</v>
      </c>
      <c r="P33" s="59">
        <f>D33*'Розшифр. факт'!$O$87</f>
        <v>0</v>
      </c>
      <c r="Q33" s="172">
        <f t="shared" si="1"/>
        <v>0</v>
      </c>
    </row>
    <row r="34" spans="1:17" ht="18" customHeight="1">
      <c r="A34" s="52" t="s">
        <v>176</v>
      </c>
      <c r="B34" s="16" t="s">
        <v>172</v>
      </c>
      <c r="C34" s="49">
        <v>0</v>
      </c>
      <c r="D34" s="59">
        <f t="shared" si="2"/>
        <v>0</v>
      </c>
      <c r="E34" s="89">
        <f>D34*'Розшифр. факт'!$D$87</f>
        <v>0</v>
      </c>
      <c r="F34" s="89">
        <f>D34*'Розшифр. факт'!$E$87</f>
        <v>0</v>
      </c>
      <c r="G34" s="89">
        <f>D34*'Розшифр. факт'!$F$87</f>
        <v>0</v>
      </c>
      <c r="H34" s="89">
        <f>D34*'Розшифр. факт'!$G$87</f>
        <v>0</v>
      </c>
      <c r="I34" s="89">
        <f>D34*'Розшифр. факт'!$H$87</f>
        <v>0</v>
      </c>
      <c r="J34" s="89">
        <f>D34*'Розшифр. факт'!$I$87</f>
        <v>0</v>
      </c>
      <c r="K34" s="89">
        <f>D34*'Розшифр. факт'!$J$87</f>
        <v>0</v>
      </c>
      <c r="L34" s="89">
        <f>D34*'Розшифр. факт'!$K$87</f>
        <v>0</v>
      </c>
      <c r="M34" s="59">
        <f>D34*'Розшифр. факт'!$L$87</f>
        <v>0</v>
      </c>
      <c r="N34" s="59">
        <f>D34*'Розшифр. факт'!$M$87</f>
        <v>0</v>
      </c>
      <c r="O34" s="59">
        <f>D34*'Розшифр. факт'!$N$87</f>
        <v>0</v>
      </c>
      <c r="P34" s="59">
        <f>D34*'Розшифр. факт'!$O$87</f>
        <v>0</v>
      </c>
      <c r="Q34" s="172">
        <f t="shared" si="1"/>
        <v>0</v>
      </c>
    </row>
    <row r="35" spans="1:17" s="61" customFormat="1" ht="18" customHeight="1">
      <c r="A35" s="55" t="s">
        <v>24</v>
      </c>
      <c r="B35" s="47" t="s">
        <v>35</v>
      </c>
      <c r="C35" s="56">
        <v>0</v>
      </c>
      <c r="D35" s="59">
        <f t="shared" si="2"/>
        <v>0</v>
      </c>
      <c r="E35" s="89">
        <f>D35*'Розшифр. факт'!$D$87</f>
        <v>0</v>
      </c>
      <c r="F35" s="89">
        <f>D35*'Розшифр. факт'!$E$87</f>
        <v>0</v>
      </c>
      <c r="G35" s="89">
        <f>D35*'Розшифр. факт'!$F$87</f>
        <v>0</v>
      </c>
      <c r="H35" s="89">
        <f>D35*'Розшифр. факт'!$G$87</f>
        <v>0</v>
      </c>
      <c r="I35" s="89">
        <f>D35*'Розшифр. факт'!$H$87</f>
        <v>0</v>
      </c>
      <c r="J35" s="89">
        <f>D35*'Розшифр. факт'!$I$87</f>
        <v>0</v>
      </c>
      <c r="K35" s="89">
        <f>D35*'Розшифр. факт'!$J$87</f>
        <v>0</v>
      </c>
      <c r="L35" s="89">
        <f>D35*'Розшифр. факт'!$K$87</f>
        <v>0</v>
      </c>
      <c r="M35" s="59">
        <f>D35*'Розшифр. факт'!$L$87</f>
        <v>0</v>
      </c>
      <c r="N35" s="59">
        <f>D35*'Розшифр. факт'!$M$87</f>
        <v>0</v>
      </c>
      <c r="O35" s="59">
        <f>D35*'Розшифр. факт'!$N$87</f>
        <v>0</v>
      </c>
      <c r="P35" s="59">
        <f>D35*'Розшифр. факт'!$O$87</f>
        <v>0</v>
      </c>
      <c r="Q35" s="172">
        <f t="shared" si="1"/>
        <v>0</v>
      </c>
    </row>
    <row r="36" spans="1:17" s="61" customFormat="1" ht="18" customHeight="1">
      <c r="A36" s="55" t="s">
        <v>25</v>
      </c>
      <c r="B36" s="47" t="s">
        <v>36</v>
      </c>
      <c r="C36" s="56">
        <v>0</v>
      </c>
      <c r="D36" s="59">
        <f t="shared" si="2"/>
        <v>0</v>
      </c>
      <c r="E36" s="89">
        <f>D36*'Розшифр. факт'!$D$87</f>
        <v>0</v>
      </c>
      <c r="F36" s="89">
        <f>D36*'Розшифр. факт'!$E$87</f>
        <v>0</v>
      </c>
      <c r="G36" s="89">
        <f>D36*'Розшифр. факт'!$F$87</f>
        <v>0</v>
      </c>
      <c r="H36" s="89">
        <f>D36*'Розшифр. факт'!$G$87</f>
        <v>0</v>
      </c>
      <c r="I36" s="89">
        <f>D36*'Розшифр. факт'!$H$87</f>
        <v>0</v>
      </c>
      <c r="J36" s="89">
        <f>D36*'Розшифр. факт'!$I$87</f>
        <v>0</v>
      </c>
      <c r="K36" s="89">
        <f>D36*'Розшифр. факт'!$J$87</f>
        <v>0</v>
      </c>
      <c r="L36" s="89">
        <f>D36*'Розшифр. факт'!$K$87</f>
        <v>0</v>
      </c>
      <c r="M36" s="59">
        <f>D36*'Розшифр. факт'!$L$87</f>
        <v>0</v>
      </c>
      <c r="N36" s="59">
        <f>D36*'Розшифр. факт'!$M$87</f>
        <v>0</v>
      </c>
      <c r="O36" s="59">
        <f>D36*'Розшифр. факт'!$N$87</f>
        <v>0</v>
      </c>
      <c r="P36" s="59">
        <f>D36*'Розшифр. факт'!$O$87</f>
        <v>0</v>
      </c>
      <c r="Q36" s="172">
        <f t="shared" si="1"/>
        <v>0</v>
      </c>
    </row>
    <row r="37" spans="1:17" s="61" customFormat="1" ht="18" customHeight="1">
      <c r="A37" s="63" t="s">
        <v>26</v>
      </c>
      <c r="B37" s="123" t="s">
        <v>177</v>
      </c>
      <c r="C37" s="124">
        <f>C36+C35+C30+C25+C9</f>
        <v>7766.673999999999</v>
      </c>
      <c r="D37" s="125">
        <f t="shared" si="2"/>
        <v>9.609841623360552</v>
      </c>
      <c r="E37" s="125">
        <f>D37*'Розшифр. факт'!$D$87</f>
        <v>457.24587428111846</v>
      </c>
      <c r="F37" s="125">
        <f>D37*'Розшифр. факт'!$E$87</f>
        <v>517.1055777530313</v>
      </c>
      <c r="G37" s="125">
        <f>D37*'Розшифр. факт'!$F$87</f>
        <v>553.584536555308</v>
      </c>
      <c r="H37" s="125">
        <f>D37*'Розшифр. факт'!$G$87</f>
        <v>535.7390606607274</v>
      </c>
      <c r="I37" s="125">
        <f>D37*'Розшифр. факт'!$H$87</f>
        <v>456.05425391982175</v>
      </c>
      <c r="J37" s="125">
        <f>D37*'Розшифр. факт'!$I$87</f>
        <v>483.7594273199702</v>
      </c>
      <c r="K37" s="125">
        <f>D37*'Розшифр. факт'!$J$87</f>
        <v>438.65083073991576</v>
      </c>
      <c r="L37" s="162">
        <f>D37*'Розшифр. факт'!$K$87</f>
        <v>554.8049864414747</v>
      </c>
      <c r="M37" s="180">
        <f>D37*'Розшифр. факт'!$L$87</f>
        <v>575.0240932170253</v>
      </c>
      <c r="N37" s="59">
        <f>D37*'Розшифр. факт'!$M$87</f>
        <v>554.7665470749813</v>
      </c>
      <c r="O37" s="59">
        <f>D37*'Розшифр. факт'!$N$87</f>
        <v>494.63776803761436</v>
      </c>
      <c r="P37" s="59">
        <f>D37*'Розшифр. факт'!$O$87</f>
        <v>516.2118624820588</v>
      </c>
      <c r="Q37" s="172">
        <f t="shared" si="1"/>
        <v>6137.5848184830475</v>
      </c>
    </row>
    <row r="38" spans="1:17" s="61" customFormat="1" ht="18" customHeight="1">
      <c r="A38" s="53" t="s">
        <v>6</v>
      </c>
      <c r="B38" s="48" t="s">
        <v>178</v>
      </c>
      <c r="C38" s="54">
        <f>C44-C37</f>
        <v>0</v>
      </c>
      <c r="D38" s="62">
        <f t="shared" si="2"/>
        <v>0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173"/>
    </row>
    <row r="39" spans="1:17" ht="18" customHeight="1">
      <c r="A39" s="11" t="s">
        <v>27</v>
      </c>
      <c r="B39" s="12" t="s">
        <v>37</v>
      </c>
      <c r="C39" s="50">
        <v>0</v>
      </c>
      <c r="D39" s="60">
        <f t="shared" si="2"/>
        <v>0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187"/>
    </row>
    <row r="40" spans="1:17" ht="18" customHeight="1">
      <c r="A40" s="13" t="s">
        <v>28</v>
      </c>
      <c r="B40" s="12" t="s">
        <v>38</v>
      </c>
      <c r="C40" s="51">
        <v>0</v>
      </c>
      <c r="D40" s="60">
        <f t="shared" si="2"/>
        <v>0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187"/>
    </row>
    <row r="41" spans="1:17" ht="18" customHeight="1">
      <c r="A41" s="13" t="s">
        <v>187</v>
      </c>
      <c r="B41" s="12" t="s">
        <v>39</v>
      </c>
      <c r="C41" s="51">
        <v>0</v>
      </c>
      <c r="D41" s="60">
        <f t="shared" si="2"/>
        <v>0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187"/>
    </row>
    <row r="42" spans="1:17" ht="18" customHeight="1">
      <c r="A42" s="13" t="s">
        <v>188</v>
      </c>
      <c r="B42" s="12" t="s">
        <v>40</v>
      </c>
      <c r="C42" s="51">
        <v>0</v>
      </c>
      <c r="D42" s="60">
        <f t="shared" si="2"/>
        <v>0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187"/>
    </row>
    <row r="43" spans="1:17" ht="18" customHeight="1">
      <c r="A43" s="13" t="s">
        <v>189</v>
      </c>
      <c r="B43" s="12" t="s">
        <v>41</v>
      </c>
      <c r="C43" s="51">
        <v>0</v>
      </c>
      <c r="D43" s="60">
        <f t="shared" si="2"/>
        <v>0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187"/>
    </row>
    <row r="44" spans="1:17" ht="27" customHeight="1">
      <c r="A44" s="53" t="s">
        <v>7</v>
      </c>
      <c r="B44" s="48" t="s">
        <v>179</v>
      </c>
      <c r="C44" s="258">
        <f>C37</f>
        <v>7766.673999999999</v>
      </c>
      <c r="D44" s="259"/>
      <c r="E44" s="56">
        <f aca="true" t="shared" si="3" ref="E44:J44">E37</f>
        <v>457.24587428111846</v>
      </c>
      <c r="F44" s="56">
        <f t="shared" si="3"/>
        <v>517.1055777530313</v>
      </c>
      <c r="G44" s="56">
        <f t="shared" si="3"/>
        <v>553.584536555308</v>
      </c>
      <c r="H44" s="56">
        <f t="shared" si="3"/>
        <v>535.7390606607274</v>
      </c>
      <c r="I44" s="56">
        <f t="shared" si="3"/>
        <v>456.05425391982175</v>
      </c>
      <c r="J44" s="56">
        <f t="shared" si="3"/>
        <v>483.7594273199702</v>
      </c>
      <c r="K44" s="56">
        <f aca="true" t="shared" si="4" ref="K44:P44">K37</f>
        <v>438.65083073991576</v>
      </c>
      <c r="L44" s="56">
        <f t="shared" si="4"/>
        <v>554.8049864414747</v>
      </c>
      <c r="M44" s="56">
        <f t="shared" si="4"/>
        <v>575.0240932170253</v>
      </c>
      <c r="N44" s="56">
        <f t="shared" si="4"/>
        <v>554.7665470749813</v>
      </c>
      <c r="O44" s="56">
        <f t="shared" si="4"/>
        <v>494.63776803761436</v>
      </c>
      <c r="P44" s="56">
        <f t="shared" si="4"/>
        <v>516.2118624820588</v>
      </c>
      <c r="Q44" s="54">
        <f>SUM(E44:P44)</f>
        <v>6137.5848184830475</v>
      </c>
    </row>
    <row r="45" spans="1:17" ht="21.75" customHeight="1">
      <c r="A45" s="53" t="s">
        <v>8</v>
      </c>
      <c r="B45" s="48" t="s">
        <v>180</v>
      </c>
      <c r="C45" s="260">
        <f>C44/C46</f>
        <v>9.609841623360552</v>
      </c>
      <c r="D45" s="261"/>
      <c r="E45" s="92">
        <f aca="true" t="shared" si="5" ref="E45:K45">E44/E46</f>
        <v>9.609841623360552</v>
      </c>
      <c r="F45" s="92">
        <f t="shared" si="5"/>
        <v>9.609841623360552</v>
      </c>
      <c r="G45" s="92">
        <f t="shared" si="5"/>
        <v>9.609841623360552</v>
      </c>
      <c r="H45" s="92">
        <f t="shared" si="5"/>
        <v>9.609841623360552</v>
      </c>
      <c r="I45" s="92">
        <f t="shared" si="5"/>
        <v>9.609841623360552</v>
      </c>
      <c r="J45" s="92">
        <f t="shared" si="5"/>
        <v>9.609841623360552</v>
      </c>
      <c r="K45" s="92">
        <f t="shared" si="5"/>
        <v>9.609841623360552</v>
      </c>
      <c r="L45" s="92">
        <f aca="true" t="shared" si="6" ref="L45:Q45">L44/L46</f>
        <v>9.609841623360552</v>
      </c>
      <c r="M45" s="92">
        <f t="shared" si="6"/>
        <v>9.609841623360552</v>
      </c>
      <c r="N45" s="92">
        <f t="shared" si="6"/>
        <v>9.609841623360552</v>
      </c>
      <c r="O45" s="92">
        <f t="shared" si="6"/>
        <v>9.609841623360552</v>
      </c>
      <c r="P45" s="92">
        <f t="shared" si="6"/>
        <v>9.609841623360552</v>
      </c>
      <c r="Q45" s="92">
        <f t="shared" si="6"/>
        <v>9.609841623360552</v>
      </c>
    </row>
    <row r="46" spans="1:17" s="17" customFormat="1" ht="18" customHeight="1">
      <c r="A46" s="55" t="s">
        <v>9</v>
      </c>
      <c r="B46" s="47" t="s">
        <v>181</v>
      </c>
      <c r="C46" s="258">
        <f>SUM(C47:C50)</f>
        <v>808.2</v>
      </c>
      <c r="D46" s="259"/>
      <c r="E46" s="56">
        <f>'Розшифр. факт'!D87</f>
        <v>47.581</v>
      </c>
      <c r="F46" s="56">
        <f>итоги!F46</f>
        <v>53.81</v>
      </c>
      <c r="G46" s="56">
        <f>'Розшифр. факт'!F87</f>
        <v>57.606</v>
      </c>
      <c r="H46" s="56">
        <f>'Розшифр. факт'!G87</f>
        <v>55.749</v>
      </c>
      <c r="I46" s="56">
        <v>47.457</v>
      </c>
      <c r="J46" s="56">
        <v>50.34</v>
      </c>
      <c r="K46" s="56">
        <v>45.646</v>
      </c>
      <c r="L46" s="56">
        <v>57.733</v>
      </c>
      <c r="M46" s="56">
        <v>59.837</v>
      </c>
      <c r="N46" s="56">
        <v>57.729</v>
      </c>
      <c r="O46" s="56">
        <v>51.472</v>
      </c>
      <c r="P46" s="56">
        <v>53.717</v>
      </c>
      <c r="Q46" s="54">
        <f>SUM(E46:P46)</f>
        <v>638.677</v>
      </c>
    </row>
    <row r="47" spans="1:4" ht="18" customHeight="1" outlineLevel="1">
      <c r="A47" s="13" t="s">
        <v>10</v>
      </c>
      <c r="B47" s="93" t="s">
        <v>182</v>
      </c>
      <c r="C47" s="250">
        <v>0</v>
      </c>
      <c r="D47" s="251"/>
    </row>
    <row r="48" spans="1:4" ht="18" customHeight="1" outlineLevel="1">
      <c r="A48" s="13" t="s">
        <v>55</v>
      </c>
      <c r="B48" s="93" t="s">
        <v>183</v>
      </c>
      <c r="C48" s="250">
        <v>0</v>
      </c>
      <c r="D48" s="251"/>
    </row>
    <row r="49" spans="1:4" ht="18" customHeight="1" outlineLevel="1">
      <c r="A49" s="13" t="s">
        <v>56</v>
      </c>
      <c r="B49" s="93" t="s">
        <v>185</v>
      </c>
      <c r="C49" s="250">
        <v>367.4</v>
      </c>
      <c r="D49" s="251"/>
    </row>
    <row r="50" spans="1:4" ht="18" customHeight="1" outlineLevel="1">
      <c r="A50" s="13" t="s">
        <v>57</v>
      </c>
      <c r="B50" s="93" t="s">
        <v>184</v>
      </c>
      <c r="C50" s="250">
        <v>440.8</v>
      </c>
      <c r="D50" s="251"/>
    </row>
    <row r="52" spans="8:12" ht="12.75">
      <c r="H52" t="s">
        <v>245</v>
      </c>
      <c r="I52" s="126">
        <f>I15+I17+I21+I22+I26+I27</f>
        <v>226.19801838530068</v>
      </c>
      <c r="J52" s="126">
        <f>J15+J17+J21+J22+J26+J27</f>
        <v>239.93948723088343</v>
      </c>
      <c r="K52" s="126">
        <f>K15+K17+K21+K22+K26+K27</f>
        <v>217.56610715416974</v>
      </c>
      <c r="L52" s="126">
        <f>L15+L17+L21+L22+L26+L27</f>
        <v>275.17732253278893</v>
      </c>
    </row>
    <row r="53" spans="8:12" ht="12.75">
      <c r="H53" s="130" t="s">
        <v>246</v>
      </c>
      <c r="I53" s="126">
        <f>I11</f>
        <v>123.56230295100221</v>
      </c>
      <c r="J53" s="126">
        <f>J11</f>
        <v>131.06867965850037</v>
      </c>
      <c r="K53" s="126">
        <f>K11</f>
        <v>118.8470590324177</v>
      </c>
      <c r="L53" s="126">
        <f>L11</f>
        <v>150.3176019611482</v>
      </c>
    </row>
    <row r="54" ht="12.75">
      <c r="B54" s="14"/>
    </row>
    <row r="55" spans="2:4" ht="15">
      <c r="B55" s="6"/>
      <c r="C55" s="249" t="s">
        <v>14</v>
      </c>
      <c r="D55" s="249"/>
    </row>
    <row r="56" spans="2:4" ht="12.75">
      <c r="B56" s="6"/>
      <c r="C56" s="257" t="s">
        <v>43</v>
      </c>
      <c r="D56" s="257"/>
    </row>
    <row r="57" ht="12.75">
      <c r="B57" s="6"/>
    </row>
  </sheetData>
  <sheetProtection/>
  <mergeCells count="26">
    <mergeCell ref="C56:D56"/>
    <mergeCell ref="C44:D44"/>
    <mergeCell ref="C45:D45"/>
    <mergeCell ref="C46:D46"/>
    <mergeCell ref="C47:D47"/>
    <mergeCell ref="C49:D49"/>
    <mergeCell ref="I5:I6"/>
    <mergeCell ref="N5:N6"/>
    <mergeCell ref="A2:D2"/>
    <mergeCell ref="A5:A7"/>
    <mergeCell ref="B5:B7"/>
    <mergeCell ref="C5:D6"/>
    <mergeCell ref="F5:F6"/>
    <mergeCell ref="M5:M6"/>
    <mergeCell ref="L5:L6"/>
    <mergeCell ref="J5:J6"/>
    <mergeCell ref="P5:P6"/>
    <mergeCell ref="Q5:Q6"/>
    <mergeCell ref="O5:O6"/>
    <mergeCell ref="C55:D55"/>
    <mergeCell ref="C50:D50"/>
    <mergeCell ref="C48:D48"/>
    <mergeCell ref="G5:G6"/>
    <mergeCell ref="E5:E6"/>
    <mergeCell ref="H5:H6"/>
    <mergeCell ref="K5:K6"/>
  </mergeCells>
  <printOptions/>
  <pageMargins left="1.1811023622047245" right="0" top="1.1811023622047245" bottom="0" header="0" footer="0"/>
  <pageSetup blackAndWhite="1" fitToHeight="1" fitToWidth="1" horizontalDpi="600" verticalDpi="600" orientation="portrait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D6" sqref="D6"/>
    </sheetView>
  </sheetViews>
  <sheetFormatPr defaultColWidth="9.140625" defaultRowHeight="12.75" outlineLevelRow="1" outlineLevelCol="1"/>
  <cols>
    <col min="1" max="1" width="9.140625" style="219" customWidth="1"/>
    <col min="2" max="2" width="31.421875" style="220" customWidth="1"/>
    <col min="3" max="3" width="14.421875" style="17" customWidth="1"/>
    <col min="4" max="4" width="14.421875" style="17" customWidth="1" outlineLevel="1"/>
    <col min="5" max="5" width="14.421875" style="17" customWidth="1"/>
    <col min="6" max="16384" width="9.140625" style="17" customWidth="1"/>
  </cols>
  <sheetData>
    <row r="1" spans="1:5" s="221" customFormat="1" ht="33" customHeight="1">
      <c r="A1" s="290" t="s">
        <v>279</v>
      </c>
      <c r="B1" s="290"/>
      <c r="C1" s="290"/>
      <c r="D1" s="290"/>
      <c r="E1" s="290"/>
    </row>
    <row r="2" spans="1:5" ht="18">
      <c r="A2" s="291"/>
      <c r="B2" s="222"/>
      <c r="D2" s="234"/>
      <c r="E2" s="297" t="s">
        <v>15</v>
      </c>
    </row>
    <row r="3" spans="1:5" ht="18.75" customHeight="1">
      <c r="A3" s="268" t="s">
        <v>0</v>
      </c>
      <c r="B3" s="269" t="s">
        <v>281</v>
      </c>
      <c r="C3" s="262" t="s">
        <v>277</v>
      </c>
      <c r="D3" s="263"/>
      <c r="E3" s="264"/>
    </row>
    <row r="4" spans="1:5" ht="124.5" customHeight="1">
      <c r="A4" s="268"/>
      <c r="B4" s="269"/>
      <c r="C4" s="265"/>
      <c r="D4" s="266"/>
      <c r="E4" s="267"/>
    </row>
    <row r="5" spans="1:5" ht="36.75" customHeight="1">
      <c r="A5" s="268"/>
      <c r="B5" s="269"/>
      <c r="C5" s="223" t="s">
        <v>190</v>
      </c>
      <c r="D5" s="230" t="s">
        <v>278</v>
      </c>
      <c r="E5" s="230" t="s">
        <v>276</v>
      </c>
    </row>
    <row r="6" spans="1:5" ht="12.75">
      <c r="A6" s="224" t="s">
        <v>16</v>
      </c>
      <c r="B6" s="225">
        <v>2</v>
      </c>
      <c r="C6" s="226">
        <v>4</v>
      </c>
      <c r="D6" s="298">
        <v>5</v>
      </c>
      <c r="E6" s="226">
        <v>6</v>
      </c>
    </row>
    <row r="7" spans="1:5" s="227" customFormat="1" ht="13.5" customHeight="1">
      <c r="A7" s="233" t="s">
        <v>16</v>
      </c>
      <c r="B7" s="231" t="s">
        <v>186</v>
      </c>
      <c r="C7" s="283">
        <f>C8+C12+C13+C17</f>
        <v>10170.3</v>
      </c>
      <c r="D7" s="282">
        <f>C7/$C$38</f>
        <v>16.017986234703038</v>
      </c>
      <c r="E7" s="235">
        <f>C7/$C$34</f>
        <v>0.9215984776403424</v>
      </c>
    </row>
    <row r="8" spans="1:5" s="227" customFormat="1" ht="21" customHeight="1">
      <c r="A8" s="233" t="s">
        <v>1</v>
      </c>
      <c r="B8" s="231" t="s">
        <v>29</v>
      </c>
      <c r="C8" s="283">
        <f>SUM(C9:C11)</f>
        <v>3195.3</v>
      </c>
      <c r="D8" s="282">
        <f>C8/$C$38</f>
        <v>5.032523270281764</v>
      </c>
      <c r="E8" s="235">
        <f>C8/$C$34</f>
        <v>0.2895473698518418</v>
      </c>
    </row>
    <row r="9" spans="1:5" ht="13.5" customHeight="1">
      <c r="A9" s="233" t="s">
        <v>17</v>
      </c>
      <c r="B9" s="231" t="s">
        <v>91</v>
      </c>
      <c r="C9" s="283">
        <v>2895.8</v>
      </c>
      <c r="D9" s="282">
        <f>C9/$C$38</f>
        <v>4.560817727938513</v>
      </c>
      <c r="E9" s="235">
        <f>C9/$C$34</f>
        <v>0.2624076842916044</v>
      </c>
    </row>
    <row r="10" spans="1:5" ht="27" customHeight="1">
      <c r="A10" s="233" t="s">
        <v>18</v>
      </c>
      <c r="B10" s="232" t="s">
        <v>162</v>
      </c>
      <c r="C10" s="283">
        <v>0</v>
      </c>
      <c r="D10" s="282">
        <f>C10/$C$38</f>
        <v>0</v>
      </c>
      <c r="E10" s="235">
        <f>C10/$C$34</f>
        <v>0</v>
      </c>
    </row>
    <row r="11" spans="1:5" ht="12" customHeight="1">
      <c r="A11" s="233" t="s">
        <v>19</v>
      </c>
      <c r="B11" s="231" t="s">
        <v>163</v>
      </c>
      <c r="C11" s="283">
        <v>299.5</v>
      </c>
      <c r="D11" s="282">
        <f>C11/$C$38</f>
        <v>0.47170554234325046</v>
      </c>
      <c r="E11" s="235">
        <f>C11/$C$34</f>
        <v>0.027139685560237416</v>
      </c>
    </row>
    <row r="12" spans="1:5" s="228" customFormat="1" ht="13.5" customHeight="1">
      <c r="A12" s="233" t="s">
        <v>2</v>
      </c>
      <c r="B12" s="231" t="s">
        <v>30</v>
      </c>
      <c r="C12" s="283">
        <v>2379.6</v>
      </c>
      <c r="D12" s="282">
        <f>C12/$C$38</f>
        <v>3.747814719732884</v>
      </c>
      <c r="E12" s="235">
        <f>C12/$C$34</f>
        <v>0.2156313714829414</v>
      </c>
    </row>
    <row r="13" spans="1:5" s="228" customFormat="1" ht="14.25" customHeight="1">
      <c r="A13" s="233" t="s">
        <v>3</v>
      </c>
      <c r="B13" s="231" t="s">
        <v>31</v>
      </c>
      <c r="C13" s="283">
        <f>SUM(C14:C16)</f>
        <v>1254</v>
      </c>
      <c r="D13" s="282">
        <f>C13/$C$38</f>
        <v>1.9750208684421906</v>
      </c>
      <c r="E13" s="235">
        <f>C13/$C$34</f>
        <v>0.11363327443251325</v>
      </c>
    </row>
    <row r="14" spans="1:5" ht="14.25" customHeight="1">
      <c r="A14" s="233" t="s">
        <v>20</v>
      </c>
      <c r="B14" s="231" t="s">
        <v>166</v>
      </c>
      <c r="C14" s="283">
        <v>523.5</v>
      </c>
      <c r="D14" s="282">
        <f>C14/$C$38</f>
        <v>0.8245003386200054</v>
      </c>
      <c r="E14" s="235">
        <f>C14/$C$34</f>
        <v>0.04743781432649178</v>
      </c>
    </row>
    <row r="15" spans="1:5" ht="14.25" customHeight="1">
      <c r="A15" s="233" t="s">
        <v>21</v>
      </c>
      <c r="B15" s="231" t="s">
        <v>167</v>
      </c>
      <c r="C15" s="283">
        <v>5.5</v>
      </c>
      <c r="D15" s="282">
        <f>C15/$C$38</f>
        <v>0.008662372230009608</v>
      </c>
      <c r="E15" s="235">
        <f>C15/$C$34</f>
        <v>0.0004983915545285669</v>
      </c>
    </row>
    <row r="16" spans="1:5" ht="14.25" customHeight="1">
      <c r="A16" s="233" t="s">
        <v>22</v>
      </c>
      <c r="B16" s="231" t="s">
        <v>92</v>
      </c>
      <c r="C16" s="283">
        <v>725</v>
      </c>
      <c r="D16" s="282">
        <f>C16/$C$38</f>
        <v>1.1418581575921756</v>
      </c>
      <c r="E16" s="235">
        <f>C16/$C$34</f>
        <v>0.0656970685514929</v>
      </c>
    </row>
    <row r="17" spans="1:5" s="227" customFormat="1" ht="13.5" customHeight="1">
      <c r="A17" s="233" t="s">
        <v>4</v>
      </c>
      <c r="B17" s="231" t="s">
        <v>32</v>
      </c>
      <c r="C17" s="283">
        <f>SUM(C18:C21)</f>
        <v>3341.3999999999996</v>
      </c>
      <c r="D17" s="282">
        <f>C17/$C$38</f>
        <v>5.262627376246201</v>
      </c>
      <c r="E17" s="235">
        <f>C17/$C$34</f>
        <v>0.30278646187304603</v>
      </c>
    </row>
    <row r="18" spans="1:5" ht="14.25" customHeight="1">
      <c r="A18" s="233" t="s">
        <v>168</v>
      </c>
      <c r="B18" s="231" t="s">
        <v>75</v>
      </c>
      <c r="C18" s="283">
        <v>1835.7</v>
      </c>
      <c r="D18" s="282">
        <f>C18/$C$38</f>
        <v>2.8911848550233885</v>
      </c>
      <c r="E18" s="235">
        <f>C18/$C$34</f>
        <v>0.16634497757238004</v>
      </c>
    </row>
    <row r="19" spans="1:5" ht="14.25" customHeight="1">
      <c r="A19" s="233" t="s">
        <v>169</v>
      </c>
      <c r="B19" s="231" t="s">
        <v>166</v>
      </c>
      <c r="C19" s="283">
        <v>403.9</v>
      </c>
      <c r="D19" s="282">
        <f>C19/$C$38</f>
        <v>0.6361331170365238</v>
      </c>
      <c r="E19" s="235">
        <f>C19/$C$34</f>
        <v>0.03660006343165239</v>
      </c>
    </row>
    <row r="20" spans="1:5" ht="14.25" customHeight="1">
      <c r="A20" s="233" t="s">
        <v>170</v>
      </c>
      <c r="B20" s="231" t="s">
        <v>167</v>
      </c>
      <c r="C20" s="283">
        <v>10</v>
      </c>
      <c r="D20" s="282">
        <f>C20/$C$38</f>
        <v>0.01574976769092656</v>
      </c>
      <c r="E20" s="235">
        <f>C20/$C$34</f>
        <v>0.0009061664627792125</v>
      </c>
    </row>
    <row r="21" spans="1:5" ht="14.25" customHeight="1">
      <c r="A21" s="233" t="s">
        <v>171</v>
      </c>
      <c r="B21" s="231" t="s">
        <v>172</v>
      </c>
      <c r="C21" s="283">
        <v>1091.8</v>
      </c>
      <c r="D21" s="282">
        <f>C21/$C$38</f>
        <v>1.7195596364953618</v>
      </c>
      <c r="E21" s="235">
        <f>C21/$C$34</f>
        <v>0.09893525440623442</v>
      </c>
    </row>
    <row r="22" spans="1:5" s="229" customFormat="1" ht="14.25" customHeight="1">
      <c r="A22" s="233" t="s">
        <v>23</v>
      </c>
      <c r="B22" s="231" t="s">
        <v>33</v>
      </c>
      <c r="C22" s="283">
        <f>SUM(C23:C26)</f>
        <v>865.1999999999999</v>
      </c>
      <c r="D22" s="282">
        <f>C22/$C$38</f>
        <v>1.362669900618966</v>
      </c>
      <c r="E22" s="235">
        <f>C22/$C$34</f>
        <v>0.07840152235965746</v>
      </c>
    </row>
    <row r="23" spans="1:5" ht="14.25" customHeight="1">
      <c r="A23" s="233" t="s">
        <v>71</v>
      </c>
      <c r="B23" s="231" t="s">
        <v>75</v>
      </c>
      <c r="C23" s="283">
        <v>592.6</v>
      </c>
      <c r="D23" s="282">
        <f>C23/$C$38</f>
        <v>0.933331233364308</v>
      </c>
      <c r="E23" s="235">
        <f>C23/$C$34</f>
        <v>0.053699424584296135</v>
      </c>
    </row>
    <row r="24" spans="1:5" ht="14.25" customHeight="1">
      <c r="A24" s="233" t="s">
        <v>72</v>
      </c>
      <c r="B24" s="231" t="s">
        <v>166</v>
      </c>
      <c r="C24" s="283">
        <v>130.4</v>
      </c>
      <c r="D24" s="282">
        <f>C24/$C$38</f>
        <v>0.20537697068968236</v>
      </c>
      <c r="E24" s="235">
        <f>C24/$C$34</f>
        <v>0.011816410674640933</v>
      </c>
    </row>
    <row r="25" spans="1:5" ht="14.25" customHeight="1">
      <c r="A25" s="233" t="s">
        <v>73</v>
      </c>
      <c r="B25" s="231" t="s">
        <v>167</v>
      </c>
      <c r="C25" s="283">
        <v>10.8</v>
      </c>
      <c r="D25" s="282">
        <f>C25/$C$38</f>
        <v>0.017009749106200685</v>
      </c>
      <c r="E25" s="235">
        <f>C25/$C$34</f>
        <v>0.0009786597798015495</v>
      </c>
    </row>
    <row r="26" spans="1:5" ht="14.25" customHeight="1">
      <c r="A26" s="233" t="s">
        <v>74</v>
      </c>
      <c r="B26" s="231" t="s">
        <v>172</v>
      </c>
      <c r="C26" s="283">
        <v>131.4</v>
      </c>
      <c r="D26" s="282">
        <f>C26/$C$38</f>
        <v>0.20695194745877502</v>
      </c>
      <c r="E26" s="235">
        <f>C26/$C$34</f>
        <v>0.011907027320918853</v>
      </c>
    </row>
    <row r="27" spans="1:5" s="228" customFormat="1" ht="13.5" customHeight="1">
      <c r="A27" s="233" t="s">
        <v>5</v>
      </c>
      <c r="B27" s="231" t="s">
        <v>34</v>
      </c>
      <c r="C27" s="283">
        <v>0</v>
      </c>
      <c r="D27" s="282">
        <f>C27/$C$38</f>
        <v>0</v>
      </c>
      <c r="E27" s="235">
        <f>C27/$C$34</f>
        <v>0</v>
      </c>
    </row>
    <row r="28" spans="1:5" ht="16.5" customHeight="1" outlineLevel="1">
      <c r="A28" s="233" t="s">
        <v>173</v>
      </c>
      <c r="B28" s="231" t="s">
        <v>75</v>
      </c>
      <c r="C28" s="283">
        <v>0</v>
      </c>
      <c r="D28" s="282">
        <f>C28/$C$38</f>
        <v>0</v>
      </c>
      <c r="E28" s="235">
        <f>C28/$C$34</f>
        <v>0</v>
      </c>
    </row>
    <row r="29" spans="1:5" ht="16.5" customHeight="1" outlineLevel="1">
      <c r="A29" s="233" t="s">
        <v>174</v>
      </c>
      <c r="B29" s="231" t="s">
        <v>166</v>
      </c>
      <c r="C29" s="283">
        <v>0</v>
      </c>
      <c r="D29" s="282">
        <f>C29/$C$38</f>
        <v>0</v>
      </c>
      <c r="E29" s="235">
        <f>C29/$C$34</f>
        <v>0</v>
      </c>
    </row>
    <row r="30" spans="1:5" ht="16.5" customHeight="1" outlineLevel="1">
      <c r="A30" s="233" t="s">
        <v>175</v>
      </c>
      <c r="B30" s="231" t="s">
        <v>167</v>
      </c>
      <c r="C30" s="283">
        <v>0</v>
      </c>
      <c r="D30" s="282">
        <f>C30/$C$38</f>
        <v>0</v>
      </c>
      <c r="E30" s="235">
        <f>C30/$C$34</f>
        <v>0</v>
      </c>
    </row>
    <row r="31" spans="1:5" ht="16.5" customHeight="1" outlineLevel="1">
      <c r="A31" s="233" t="s">
        <v>176</v>
      </c>
      <c r="B31" s="231" t="s">
        <v>172</v>
      </c>
      <c r="C31" s="283">
        <v>0</v>
      </c>
      <c r="D31" s="282">
        <f>C31/$C$38</f>
        <v>0</v>
      </c>
      <c r="E31" s="235">
        <f>C31/$C$34</f>
        <v>0</v>
      </c>
    </row>
    <row r="32" spans="1:5" s="227" customFormat="1" ht="15.75" customHeight="1">
      <c r="A32" s="233" t="s">
        <v>24</v>
      </c>
      <c r="B32" s="231" t="s">
        <v>35</v>
      </c>
      <c r="C32" s="283">
        <v>0</v>
      </c>
      <c r="D32" s="282">
        <f>C32/$C$38</f>
        <v>0</v>
      </c>
      <c r="E32" s="235">
        <f>C32/$C$34</f>
        <v>0</v>
      </c>
    </row>
    <row r="33" spans="1:5" s="227" customFormat="1" ht="12" customHeight="1">
      <c r="A33" s="233" t="s">
        <v>25</v>
      </c>
      <c r="B33" s="231" t="s">
        <v>36</v>
      </c>
      <c r="C33" s="283">
        <v>0</v>
      </c>
      <c r="D33" s="282">
        <f>C33/$C$38</f>
        <v>0</v>
      </c>
      <c r="E33" s="235">
        <f>C33/$C$34</f>
        <v>0</v>
      </c>
    </row>
    <row r="34" spans="1:5" s="229" customFormat="1" ht="13.5" customHeight="1">
      <c r="A34" s="292" t="s">
        <v>26</v>
      </c>
      <c r="B34" s="293" t="s">
        <v>177</v>
      </c>
      <c r="C34" s="294">
        <f>C33+C32+C258+C22+C17+C13+C12+C8</f>
        <v>11035.5</v>
      </c>
      <c r="D34" s="296">
        <f>D33+D32+D258+D22+D17+D13+D12+D8</f>
        <v>17.380656135322006</v>
      </c>
      <c r="E34" s="295">
        <f>C34/$C$34</f>
        <v>1</v>
      </c>
    </row>
    <row r="35" spans="1:5" s="227" customFormat="1" ht="22.5" customHeight="1">
      <c r="A35" s="233" t="s">
        <v>6</v>
      </c>
      <c r="B35" s="231" t="s">
        <v>280</v>
      </c>
      <c r="C35" s="283">
        <v>0</v>
      </c>
      <c r="D35" s="235">
        <v>0</v>
      </c>
      <c r="E35" s="235">
        <v>0</v>
      </c>
    </row>
    <row r="36" spans="1:5" ht="31.5" customHeight="1">
      <c r="A36" s="233" t="s">
        <v>7</v>
      </c>
      <c r="B36" s="231" t="s">
        <v>179</v>
      </c>
      <c r="C36" s="284">
        <f>C34</f>
        <v>11035.5</v>
      </c>
      <c r="D36" s="285"/>
      <c r="E36" s="286"/>
    </row>
    <row r="37" spans="1:5" ht="26.25" customHeight="1">
      <c r="A37" s="233" t="s">
        <v>8</v>
      </c>
      <c r="B37" s="231" t="s">
        <v>180</v>
      </c>
      <c r="C37" s="287">
        <f>C34/C38</f>
        <v>17.380656135322006</v>
      </c>
      <c r="D37" s="288"/>
      <c r="E37" s="289"/>
    </row>
    <row r="38" spans="1:5" ht="15.75" customHeight="1">
      <c r="A38" s="233" t="s">
        <v>9</v>
      </c>
      <c r="B38" s="231" t="s">
        <v>181</v>
      </c>
      <c r="C38" s="284">
        <v>634.93</v>
      </c>
      <c r="D38" s="285"/>
      <c r="E38" s="286"/>
    </row>
  </sheetData>
  <sheetProtection/>
  <mergeCells count="7">
    <mergeCell ref="A1:E1"/>
    <mergeCell ref="C38:E38"/>
    <mergeCell ref="A3:A5"/>
    <mergeCell ref="B3:B5"/>
    <mergeCell ref="C3:E4"/>
    <mergeCell ref="C36:E36"/>
    <mergeCell ref="C37:E37"/>
  </mergeCells>
  <printOptions/>
  <pageMargins left="0" right="0" top="1.1811023622047245" bottom="0" header="0" footer="0"/>
  <pageSetup blackAndWhite="1"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Q57"/>
  <sheetViews>
    <sheetView zoomScale="70" zoomScaleNormal="70" zoomScalePageLayoutView="0" workbookViewId="0" topLeftCell="A22">
      <selection activeCell="A2" sqref="A2:D2"/>
    </sheetView>
  </sheetViews>
  <sheetFormatPr defaultColWidth="9.140625" defaultRowHeight="12.75" outlineLevelRow="1" outlineLevelCol="1"/>
  <cols>
    <col min="1" max="1" width="9.140625" style="2" customWidth="1"/>
    <col min="2" max="2" width="45.7109375" style="4" customWidth="1"/>
    <col min="3" max="3" width="15.00390625" style="0" customWidth="1"/>
    <col min="4" max="4" width="19.57421875" style="0" customWidth="1"/>
    <col min="5" max="5" width="15.57421875" style="0" hidden="1" customWidth="1" outlineLevel="1"/>
    <col min="6" max="7" width="15.57421875" style="0" hidden="1" customWidth="1" outlineLevel="1" collapsed="1"/>
    <col min="8" max="8" width="16.7109375" style="0" hidden="1" customWidth="1" outlineLevel="1" collapsed="1"/>
    <col min="9" max="9" width="15.57421875" style="0" hidden="1" customWidth="1" outlineLevel="1" collapsed="1"/>
    <col min="10" max="16" width="15.57421875" style="0" hidden="1" customWidth="1" outlineLevel="1"/>
    <col min="17" max="17" width="15.57421875" style="0" customWidth="1" collapsed="1"/>
    <col min="18" max="18" width="16.140625" style="0" hidden="1" customWidth="1" outlineLevel="1"/>
    <col min="19" max="22" width="20.28125" style="0" hidden="1" customWidth="1" outlineLevel="1"/>
    <col min="23" max="23" width="18.7109375" style="0" hidden="1" customWidth="1" outlineLevel="1"/>
    <col min="24" max="29" width="17.7109375" style="0" hidden="1" customWidth="1" outlineLevel="1"/>
    <col min="30" max="30" width="15.57421875" style="0" customWidth="1" collapsed="1"/>
    <col min="31" max="35" width="16.57421875" style="0" hidden="1" customWidth="1" outlineLevel="1"/>
    <col min="36" max="36" width="15.140625" style="0" hidden="1" customWidth="1" outlineLevel="1"/>
    <col min="37" max="37" width="15.28125" style="0" hidden="1" customWidth="1" outlineLevel="1"/>
    <col min="38" max="38" width="15.7109375" style="0" hidden="1" customWidth="1" outlineLevel="1"/>
    <col min="39" max="42" width="16.57421875" style="0" hidden="1" customWidth="1" outlineLevel="1"/>
    <col min="43" max="43" width="16.7109375" style="0" customWidth="1" collapsed="1"/>
  </cols>
  <sheetData>
    <row r="1" ht="4.5" customHeight="1"/>
    <row r="2" spans="1:4" s="43" customFormat="1" ht="18.75">
      <c r="A2" s="252" t="s">
        <v>275</v>
      </c>
      <c r="B2" s="252"/>
      <c r="C2" s="252"/>
      <c r="D2" s="252"/>
    </row>
    <row r="3" spans="1:4" s="43" customFormat="1" ht="18.75">
      <c r="A3" s="45"/>
      <c r="B3" s="45"/>
      <c r="C3" s="45"/>
      <c r="D3" s="45"/>
    </row>
    <row r="4" spans="1:4" ht="17.25">
      <c r="A4" s="3"/>
      <c r="B4" s="5"/>
      <c r="C4" s="1"/>
      <c r="D4" s="46" t="s">
        <v>15</v>
      </c>
    </row>
    <row r="5" spans="1:43" ht="18.75" customHeight="1">
      <c r="A5" s="253" t="s">
        <v>0</v>
      </c>
      <c r="B5" s="254" t="s">
        <v>237</v>
      </c>
      <c r="C5" s="256" t="s">
        <v>238</v>
      </c>
      <c r="D5" s="256"/>
      <c r="E5" s="270" t="s">
        <v>216</v>
      </c>
      <c r="F5" s="270" t="s">
        <v>223</v>
      </c>
      <c r="G5" s="270" t="s">
        <v>228</v>
      </c>
      <c r="H5" s="270" t="s">
        <v>229</v>
      </c>
      <c r="I5" s="270" t="s">
        <v>243</v>
      </c>
      <c r="J5" s="270" t="s">
        <v>248</v>
      </c>
      <c r="K5" s="270" t="s">
        <v>251</v>
      </c>
      <c r="L5" s="270" t="s">
        <v>253</v>
      </c>
      <c r="M5" s="270" t="s">
        <v>259</v>
      </c>
      <c r="N5" s="270" t="s">
        <v>262</v>
      </c>
      <c r="O5" s="270" t="s">
        <v>265</v>
      </c>
      <c r="P5" s="270" t="s">
        <v>268</v>
      </c>
      <c r="Q5" s="277" t="s">
        <v>271</v>
      </c>
      <c r="R5" s="272" t="s">
        <v>230</v>
      </c>
      <c r="S5" s="272" t="s">
        <v>232</v>
      </c>
      <c r="T5" s="272" t="s">
        <v>233</v>
      </c>
      <c r="U5" s="272" t="s">
        <v>234</v>
      </c>
      <c r="V5" s="272" t="s">
        <v>242</v>
      </c>
      <c r="W5" s="272" t="s">
        <v>249</v>
      </c>
      <c r="X5" s="272" t="s">
        <v>252</v>
      </c>
      <c r="Y5" s="272" t="s">
        <v>254</v>
      </c>
      <c r="Z5" s="272" t="s">
        <v>260</v>
      </c>
      <c r="AA5" s="272" t="s">
        <v>263</v>
      </c>
      <c r="AB5" s="272" t="s">
        <v>266</v>
      </c>
      <c r="AC5" s="272" t="s">
        <v>270</v>
      </c>
      <c r="AD5" s="272" t="s">
        <v>272</v>
      </c>
      <c r="AE5" s="274" t="s">
        <v>235</v>
      </c>
      <c r="AF5" s="274" t="s">
        <v>239</v>
      </c>
      <c r="AG5" s="274" t="s">
        <v>240</v>
      </c>
      <c r="AH5" s="274" t="s">
        <v>241</v>
      </c>
      <c r="AI5" s="274" t="s">
        <v>244</v>
      </c>
      <c r="AJ5" s="274" t="s">
        <v>250</v>
      </c>
      <c r="AK5" s="274" t="s">
        <v>255</v>
      </c>
      <c r="AL5" s="274" t="s">
        <v>256</v>
      </c>
      <c r="AM5" s="274" t="s">
        <v>261</v>
      </c>
      <c r="AN5" s="274" t="s">
        <v>264</v>
      </c>
      <c r="AO5" s="274" t="s">
        <v>267</v>
      </c>
      <c r="AP5" s="274" t="s">
        <v>273</v>
      </c>
      <c r="AQ5" s="274" t="s">
        <v>274</v>
      </c>
    </row>
    <row r="6" spans="1:43" ht="60" customHeight="1">
      <c r="A6" s="253"/>
      <c r="B6" s="255"/>
      <c r="C6" s="256"/>
      <c r="D6" s="256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8"/>
      <c r="R6" s="273"/>
      <c r="S6" s="273"/>
      <c r="T6" s="273"/>
      <c r="U6" s="273"/>
      <c r="V6" s="273"/>
      <c r="W6" s="276"/>
      <c r="X6" s="276"/>
      <c r="Y6" s="276"/>
      <c r="Z6" s="276"/>
      <c r="AA6" s="276"/>
      <c r="AB6" s="276"/>
      <c r="AC6" s="276"/>
      <c r="AD6" s="276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</row>
    <row r="7" spans="1:43" ht="45" customHeight="1">
      <c r="A7" s="253"/>
      <c r="B7" s="255"/>
      <c r="C7" s="8" t="s">
        <v>190</v>
      </c>
      <c r="D7" s="8" t="s">
        <v>42</v>
      </c>
      <c r="E7" s="8" t="s">
        <v>190</v>
      </c>
      <c r="F7" s="8" t="s">
        <v>190</v>
      </c>
      <c r="G7" s="8" t="s">
        <v>190</v>
      </c>
      <c r="H7" s="8" t="s">
        <v>190</v>
      </c>
      <c r="I7" s="8" t="s">
        <v>190</v>
      </c>
      <c r="J7" s="8" t="s">
        <v>190</v>
      </c>
      <c r="K7" s="8" t="s">
        <v>190</v>
      </c>
      <c r="L7" s="8" t="s">
        <v>190</v>
      </c>
      <c r="M7" s="8" t="s">
        <v>190</v>
      </c>
      <c r="N7" s="8" t="s">
        <v>190</v>
      </c>
      <c r="O7" s="8" t="s">
        <v>190</v>
      </c>
      <c r="P7" s="8" t="s">
        <v>190</v>
      </c>
      <c r="Q7" s="212"/>
      <c r="R7" s="8" t="s">
        <v>231</v>
      </c>
      <c r="S7" s="8" t="s">
        <v>231</v>
      </c>
      <c r="T7" s="8" t="s">
        <v>231</v>
      </c>
      <c r="U7" s="8" t="s">
        <v>231</v>
      </c>
      <c r="V7" s="8" t="s">
        <v>231</v>
      </c>
      <c r="W7" s="8" t="s">
        <v>231</v>
      </c>
      <c r="X7" s="8" t="s">
        <v>231</v>
      </c>
      <c r="Y7" s="8" t="s">
        <v>231</v>
      </c>
      <c r="Z7" s="8" t="s">
        <v>231</v>
      </c>
      <c r="AA7" s="8" t="s">
        <v>231</v>
      </c>
      <c r="AB7" s="8" t="s">
        <v>231</v>
      </c>
      <c r="AC7" s="8" t="s">
        <v>231</v>
      </c>
      <c r="AD7" s="215" t="s">
        <v>231</v>
      </c>
      <c r="AE7" s="8" t="s">
        <v>231</v>
      </c>
      <c r="AF7" s="8" t="s">
        <v>231</v>
      </c>
      <c r="AG7" s="8" t="s">
        <v>231</v>
      </c>
      <c r="AH7" s="8" t="s">
        <v>231</v>
      </c>
      <c r="AI7" s="8" t="s">
        <v>231</v>
      </c>
      <c r="AJ7" s="8" t="s">
        <v>231</v>
      </c>
      <c r="AK7" s="8" t="s">
        <v>231</v>
      </c>
      <c r="AL7" s="8" t="s">
        <v>231</v>
      </c>
      <c r="AM7" s="8" t="s">
        <v>231</v>
      </c>
      <c r="AN7" s="8" t="s">
        <v>231</v>
      </c>
      <c r="AO7" s="8" t="s">
        <v>231</v>
      </c>
      <c r="AP7" s="8" t="s">
        <v>231</v>
      </c>
      <c r="AQ7" s="8" t="s">
        <v>231</v>
      </c>
    </row>
    <row r="8" spans="1:30" ht="12.75">
      <c r="A8" s="19" t="s">
        <v>16</v>
      </c>
      <c r="B8" s="9">
        <v>2</v>
      </c>
      <c r="C8" s="10">
        <v>3</v>
      </c>
      <c r="D8" s="10">
        <v>4</v>
      </c>
      <c r="E8" s="10">
        <v>3</v>
      </c>
      <c r="F8" s="10">
        <v>3</v>
      </c>
      <c r="G8" s="10">
        <v>3</v>
      </c>
      <c r="H8" s="10">
        <v>3</v>
      </c>
      <c r="I8" s="10">
        <v>3</v>
      </c>
      <c r="J8" s="10">
        <v>3</v>
      </c>
      <c r="K8" s="10">
        <v>3</v>
      </c>
      <c r="L8" s="10">
        <v>3</v>
      </c>
      <c r="M8" s="10">
        <v>3</v>
      </c>
      <c r="N8" s="10">
        <v>4</v>
      </c>
      <c r="O8" s="10">
        <v>4</v>
      </c>
      <c r="P8" s="10">
        <v>4</v>
      </c>
      <c r="Q8" s="164"/>
      <c r="R8" s="10">
        <v>4</v>
      </c>
      <c r="S8" s="10">
        <v>4</v>
      </c>
      <c r="T8" s="10">
        <v>4</v>
      </c>
      <c r="U8" s="10">
        <v>4</v>
      </c>
      <c r="V8" s="10">
        <v>4</v>
      </c>
      <c r="W8" s="10">
        <v>4</v>
      </c>
      <c r="X8" s="10">
        <v>4</v>
      </c>
      <c r="Y8" s="10">
        <v>4</v>
      </c>
      <c r="Z8" s="10">
        <v>4</v>
      </c>
      <c r="AA8" s="10">
        <v>4</v>
      </c>
      <c r="AB8" s="10">
        <v>4</v>
      </c>
      <c r="AC8" s="10"/>
      <c r="AD8" s="216">
        <v>5</v>
      </c>
    </row>
    <row r="9" spans="1:43" s="61" customFormat="1" ht="18" customHeight="1">
      <c r="A9" s="55" t="s">
        <v>16</v>
      </c>
      <c r="B9" s="47" t="s">
        <v>186</v>
      </c>
      <c r="C9" s="56">
        <f>C10+C15+C16+C20</f>
        <v>7203.237999999999</v>
      </c>
      <c r="D9" s="59">
        <f aca="true" t="shared" si="0" ref="D9:D21">C9/$C$46</f>
        <v>8.912692402870576</v>
      </c>
      <c r="E9" s="56">
        <f aca="true" t="shared" si="1" ref="E9:O9">E10+E15+E16+E20</f>
        <v>607.586</v>
      </c>
      <c r="F9" s="56">
        <f t="shared" si="1"/>
        <v>517.25</v>
      </c>
      <c r="G9" s="56">
        <f t="shared" si="1"/>
        <v>565.153</v>
      </c>
      <c r="H9" s="56">
        <f t="shared" si="1"/>
        <v>548.245</v>
      </c>
      <c r="I9" s="56">
        <f t="shared" si="1"/>
        <v>603.3590000000002</v>
      </c>
      <c r="J9" s="56">
        <f t="shared" si="1"/>
        <v>556.479</v>
      </c>
      <c r="K9" s="56">
        <f t="shared" si="1"/>
        <v>610.365</v>
      </c>
      <c r="L9" s="56">
        <f t="shared" si="1"/>
        <v>564.2470000000001</v>
      </c>
      <c r="M9" s="56">
        <f t="shared" si="1"/>
        <v>611.337</v>
      </c>
      <c r="N9" s="56">
        <f t="shared" si="1"/>
        <v>658.7449999999999</v>
      </c>
      <c r="O9" s="56">
        <f t="shared" si="1"/>
        <v>727.02</v>
      </c>
      <c r="P9" s="56">
        <f>P10+P15+P16+P20</f>
        <v>535.197</v>
      </c>
      <c r="Q9" s="178">
        <f>SUM(E9:P9)</f>
        <v>7104.983</v>
      </c>
      <c r="R9" s="59">
        <f aca="true" t="shared" si="2" ref="R9:R37">D9*$E$46</f>
        <v>424.07481722098487</v>
      </c>
      <c r="S9" s="59">
        <f aca="true" t="shared" si="3" ref="S9:S37">D9*$F$46</f>
        <v>479.5919781984657</v>
      </c>
      <c r="T9" s="59">
        <f aca="true" t="shared" si="4" ref="T9:T37">D9*$G$46</f>
        <v>513.4245585597624</v>
      </c>
      <c r="U9" s="59">
        <f aca="true" t="shared" si="5" ref="U9:U37">D9*$H$46</f>
        <v>496.87368876763173</v>
      </c>
      <c r="V9" s="59">
        <f aca="true" t="shared" si="6" ref="V9:V37">D9*$I$46</f>
        <v>422.9696433630289</v>
      </c>
      <c r="W9" s="59">
        <f aca="true" t="shared" si="7" ref="W9:W37">D9*$J$46</f>
        <v>448.66493556050483</v>
      </c>
      <c r="X9" s="59">
        <f>D9*$K$46</f>
        <v>406.82875742143034</v>
      </c>
      <c r="Y9" s="59">
        <f>D9*$L$46</f>
        <v>514.5564704949269</v>
      </c>
      <c r="Z9" s="59">
        <f>D9*$M$46</f>
        <v>533.3087753105667</v>
      </c>
      <c r="AA9" s="59">
        <f>D9*$N$46</f>
        <v>514.5208197253155</v>
      </c>
      <c r="AB9" s="59">
        <f>D9*$O$46</f>
        <v>458.75410336055427</v>
      </c>
      <c r="AC9" s="59">
        <f>D9*$P$46</f>
        <v>478.7630978049987</v>
      </c>
      <c r="AD9" s="196">
        <f>SUM(R9:AC9)</f>
        <v>5692.33164578817</v>
      </c>
      <c r="AE9" s="171">
        <f aca="true" t="shared" si="8" ref="AE9:AE37">R9-E9</f>
        <v>-183.51118277901514</v>
      </c>
      <c r="AF9" s="171">
        <f aca="true" t="shared" si="9" ref="AF9:AF37">S9-F9</f>
        <v>-37.65802180153429</v>
      </c>
      <c r="AG9" s="171">
        <f aca="true" t="shared" si="10" ref="AG9:AG37">T9-G9</f>
        <v>-51.72844144023759</v>
      </c>
      <c r="AH9" s="171">
        <f aca="true" t="shared" si="11" ref="AH9:AH37">U9-H9</f>
        <v>-51.37131123236827</v>
      </c>
      <c r="AI9" s="171">
        <f aca="true" t="shared" si="12" ref="AI9:AI37">V9-I9</f>
        <v>-180.38935663697123</v>
      </c>
      <c r="AJ9" s="171">
        <f aca="true" t="shared" si="13" ref="AJ9:AJ37">W9-J9</f>
        <v>-107.81406443949521</v>
      </c>
      <c r="AK9" s="171">
        <f aca="true" t="shared" si="14" ref="AK9:AK37">X9-K9</f>
        <v>-203.53624257856967</v>
      </c>
      <c r="AL9" s="171">
        <f aca="true" t="shared" si="15" ref="AL9:AL37">Y9-L9</f>
        <v>-49.69052950507319</v>
      </c>
      <c r="AM9" s="171">
        <f aca="true" t="shared" si="16" ref="AM9:AM37">Z9-M9</f>
        <v>-78.02822468943327</v>
      </c>
      <c r="AN9" s="171">
        <f aca="true" t="shared" si="17" ref="AN9:AN37">AA9-N9</f>
        <v>-144.2241802746844</v>
      </c>
      <c r="AO9" s="171">
        <f aca="true" t="shared" si="18" ref="AO9:AO37">AB9-O9</f>
        <v>-268.2658966394457</v>
      </c>
      <c r="AP9" s="171">
        <f aca="true" t="shared" si="19" ref="AP9:AP37">AC9-P9</f>
        <v>-56.43390219500128</v>
      </c>
      <c r="AQ9" s="56">
        <f>SUM(AE9:AP9)</f>
        <v>-1412.6513542118291</v>
      </c>
    </row>
    <row r="10" spans="1:43" s="61" customFormat="1" ht="18" customHeight="1">
      <c r="A10" s="55" t="s">
        <v>1</v>
      </c>
      <c r="B10" s="47" t="s">
        <v>29</v>
      </c>
      <c r="C10" s="56">
        <f>SUM(C11:C14)</f>
        <v>2112.614</v>
      </c>
      <c r="D10" s="59">
        <f t="shared" si="0"/>
        <v>2.61397426379609</v>
      </c>
      <c r="E10" s="56">
        <f aca="true" t="shared" si="20" ref="E10:J10">SUM(E11:E14)</f>
        <v>223.953</v>
      </c>
      <c r="F10" s="56">
        <f t="shared" si="20"/>
        <v>169.882</v>
      </c>
      <c r="G10" s="56">
        <f t="shared" si="20"/>
        <v>195.695</v>
      </c>
      <c r="H10" s="56">
        <f t="shared" si="20"/>
        <v>203.213</v>
      </c>
      <c r="I10" s="56">
        <f t="shared" si="20"/>
        <v>237.524</v>
      </c>
      <c r="J10" s="56">
        <f t="shared" si="20"/>
        <v>183.847</v>
      </c>
      <c r="K10" s="56">
        <f aca="true" t="shared" si="21" ref="K10:P10">SUM(K11:K14)</f>
        <v>230.819</v>
      </c>
      <c r="L10" s="56">
        <f t="shared" si="21"/>
        <v>194.961</v>
      </c>
      <c r="M10" s="56">
        <f t="shared" si="21"/>
        <v>205.838</v>
      </c>
      <c r="N10" s="56">
        <f t="shared" si="21"/>
        <v>251.422</v>
      </c>
      <c r="O10" s="56">
        <f t="shared" si="21"/>
        <v>358.60699999999997</v>
      </c>
      <c r="P10" s="56">
        <f t="shared" si="21"/>
        <v>105.029</v>
      </c>
      <c r="Q10" s="178">
        <f aca="true" t="shared" si="22" ref="Q10:Q37">SUM(E10:P10)</f>
        <v>2560.7899999999995</v>
      </c>
      <c r="R10" s="59">
        <f t="shared" si="2"/>
        <v>124.37550944568177</v>
      </c>
      <c r="S10" s="59">
        <f t="shared" si="3"/>
        <v>140.65795513486762</v>
      </c>
      <c r="T10" s="59">
        <f t="shared" si="4"/>
        <v>150.58060144023756</v>
      </c>
      <c r="U10" s="59">
        <f t="shared" si="5"/>
        <v>145.72645123236822</v>
      </c>
      <c r="V10" s="59">
        <f t="shared" si="6"/>
        <v>124.05137663697106</v>
      </c>
      <c r="W10" s="59">
        <f t="shared" si="7"/>
        <v>131.5874644394952</v>
      </c>
      <c r="X10" s="59">
        <f aca="true" t="shared" si="23" ref="X10:X37">D10*$K$46</f>
        <v>119.31746924523632</v>
      </c>
      <c r="Y10" s="59">
        <f aca="true" t="shared" si="24" ref="Y10:Y37">D10*$L$46</f>
        <v>150.91257617173966</v>
      </c>
      <c r="Z10" s="59">
        <f aca="true" t="shared" si="25" ref="Z10:Z37">D10*$M$46</f>
        <v>156.41237802276666</v>
      </c>
      <c r="AA10" s="59">
        <f aca="true" t="shared" si="26" ref="AA10:AA37">D10*$N$46</f>
        <v>150.90212027468448</v>
      </c>
      <c r="AB10" s="59">
        <f aca="true" t="shared" si="27" ref="AB10:AB37">D10*$O$46</f>
        <v>134.54648330611235</v>
      </c>
      <c r="AC10" s="59">
        <f aca="true" t="shared" si="28" ref="AC10:AC37">D10*$P$46</f>
        <v>140.41485552833456</v>
      </c>
      <c r="AD10" s="196">
        <f aca="true" t="shared" si="29" ref="AD10:AD37">SUM(R10:AC10)</f>
        <v>1669.4852408784955</v>
      </c>
      <c r="AE10" s="171">
        <f t="shared" si="8"/>
        <v>-99.57749055431823</v>
      </c>
      <c r="AF10" s="171">
        <f t="shared" si="9"/>
        <v>-29.224044865132385</v>
      </c>
      <c r="AG10" s="171">
        <f t="shared" si="10"/>
        <v>-45.114398559762435</v>
      </c>
      <c r="AH10" s="171">
        <f t="shared" si="11"/>
        <v>-57.486548767631774</v>
      </c>
      <c r="AI10" s="171">
        <f t="shared" si="12"/>
        <v>-113.47262336302894</v>
      </c>
      <c r="AJ10" s="171">
        <f t="shared" si="13"/>
        <v>-52.259535560504816</v>
      </c>
      <c r="AK10" s="171">
        <f t="shared" si="14"/>
        <v>-111.50153075476366</v>
      </c>
      <c r="AL10" s="171">
        <f t="shared" si="15"/>
        <v>-44.048423828260354</v>
      </c>
      <c r="AM10" s="171">
        <f t="shared" si="16"/>
        <v>-49.425621977233334</v>
      </c>
      <c r="AN10" s="171">
        <f t="shared" si="17"/>
        <v>-100.51987972531552</v>
      </c>
      <c r="AO10" s="171">
        <f t="shared" si="18"/>
        <v>-224.06051669388762</v>
      </c>
      <c r="AP10" s="171">
        <f t="shared" si="19"/>
        <v>35.38585552833456</v>
      </c>
      <c r="AQ10" s="56">
        <f aca="true" t="shared" si="30" ref="AQ10:AQ37">SUM(AE10:AP10)</f>
        <v>-891.3047591215044</v>
      </c>
    </row>
    <row r="11" spans="1:43" ht="18" customHeight="1">
      <c r="A11" s="192" t="s">
        <v>17</v>
      </c>
      <c r="B11" s="193" t="s">
        <v>91</v>
      </c>
      <c r="C11" s="194">
        <f>'Розшифр. факт'!C5</f>
        <v>2104.285</v>
      </c>
      <c r="D11" s="195">
        <f t="shared" si="0"/>
        <v>2.6036686463746594</v>
      </c>
      <c r="E11" s="194">
        <f>'Розшифр. факт'!D5</f>
        <v>219.34</v>
      </c>
      <c r="F11" s="194">
        <f>'Розшифр. факт'!E5</f>
        <v>164.231</v>
      </c>
      <c r="G11" s="194">
        <f>'Розшифр. факт'!F5</f>
        <v>190.632</v>
      </c>
      <c r="H11" s="194">
        <f>'Розшифр. факт'!G5</f>
        <v>200.588</v>
      </c>
      <c r="I11" s="194">
        <f>'Розшифр. факт'!H5</f>
        <v>235.255</v>
      </c>
      <c r="J11" s="194">
        <f>'Розшифр. факт'!I5</f>
        <v>183.847</v>
      </c>
      <c r="K11" s="196">
        <f>'Розшифр. факт'!J5</f>
        <v>230.819</v>
      </c>
      <c r="L11" s="196">
        <f>'Розшифр. факт'!K5</f>
        <v>194.961</v>
      </c>
      <c r="M11" s="196">
        <f>'Розшифр. факт'!L5</f>
        <v>200.914</v>
      </c>
      <c r="N11" s="196">
        <f>'Розшифр. факт'!M5</f>
        <v>245.845</v>
      </c>
      <c r="O11" s="196">
        <f>'Розшифр. факт'!N5</f>
        <v>348.974</v>
      </c>
      <c r="P11" s="196">
        <f>'Розшифр. факт'!O5</f>
        <v>105.029</v>
      </c>
      <c r="Q11" s="178">
        <f t="shared" si="22"/>
        <v>2520.435</v>
      </c>
      <c r="R11" s="197">
        <f t="shared" si="2"/>
        <v>123.88515786315268</v>
      </c>
      <c r="S11" s="197">
        <f t="shared" si="3"/>
        <v>140.10340986142043</v>
      </c>
      <c r="T11" s="197">
        <f t="shared" si="4"/>
        <v>149.98693604305865</v>
      </c>
      <c r="U11" s="197">
        <f t="shared" si="5"/>
        <v>145.1519233667409</v>
      </c>
      <c r="V11" s="197">
        <f t="shared" si="6"/>
        <v>123.56230295100221</v>
      </c>
      <c r="W11" s="181">
        <f t="shared" si="7"/>
        <v>131.06867965850037</v>
      </c>
      <c r="X11" s="181">
        <f t="shared" si="23"/>
        <v>118.8470590324177</v>
      </c>
      <c r="Y11" s="181">
        <f t="shared" si="24"/>
        <v>150.3176019611482</v>
      </c>
      <c r="Z11" s="181">
        <f t="shared" si="25"/>
        <v>155.7957207931205</v>
      </c>
      <c r="AA11" s="181">
        <f t="shared" si="26"/>
        <v>150.3071872865627</v>
      </c>
      <c r="AB11" s="181">
        <f t="shared" si="27"/>
        <v>134.0160325661965</v>
      </c>
      <c r="AC11" s="181">
        <f t="shared" si="28"/>
        <v>139.86126867730758</v>
      </c>
      <c r="AD11" s="196">
        <f t="shared" si="29"/>
        <v>1662.9032800606287</v>
      </c>
      <c r="AE11" s="198">
        <f t="shared" si="8"/>
        <v>-95.45484213684732</v>
      </c>
      <c r="AF11" s="198">
        <f t="shared" si="9"/>
        <v>-24.127590138579563</v>
      </c>
      <c r="AG11" s="198">
        <f t="shared" si="10"/>
        <v>-40.64506395694136</v>
      </c>
      <c r="AH11" s="198">
        <f t="shared" si="11"/>
        <v>-55.43607663325909</v>
      </c>
      <c r="AI11" s="198">
        <f t="shared" si="12"/>
        <v>-111.69269704899779</v>
      </c>
      <c r="AJ11" s="198">
        <f t="shared" si="13"/>
        <v>-52.77832034149964</v>
      </c>
      <c r="AK11" s="198">
        <f t="shared" si="14"/>
        <v>-111.97194096758228</v>
      </c>
      <c r="AL11" s="198">
        <f t="shared" si="15"/>
        <v>-44.643398038851814</v>
      </c>
      <c r="AM11" s="198">
        <f t="shared" si="16"/>
        <v>-45.11827920687949</v>
      </c>
      <c r="AN11" s="198">
        <f t="shared" si="17"/>
        <v>-95.53781271343729</v>
      </c>
      <c r="AO11" s="198">
        <f t="shared" si="18"/>
        <v>-214.9579674338035</v>
      </c>
      <c r="AP11" s="198">
        <f t="shared" si="19"/>
        <v>34.83226867730758</v>
      </c>
      <c r="AQ11" s="56">
        <f t="shared" si="30"/>
        <v>-857.5317199393717</v>
      </c>
    </row>
    <row r="12" spans="1:43" ht="27" customHeight="1">
      <c r="A12" s="15" t="s">
        <v>18</v>
      </c>
      <c r="B12" s="57" t="s">
        <v>162</v>
      </c>
      <c r="C12" s="49">
        <v>0</v>
      </c>
      <c r="D12" s="58">
        <f t="shared" si="0"/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178">
        <f t="shared" si="22"/>
        <v>0</v>
      </c>
      <c r="R12" s="89">
        <f t="shared" si="2"/>
        <v>0</v>
      </c>
      <c r="S12" s="89">
        <f t="shared" si="3"/>
        <v>0</v>
      </c>
      <c r="T12" s="89">
        <f t="shared" si="4"/>
        <v>0</v>
      </c>
      <c r="U12" s="89">
        <f t="shared" si="5"/>
        <v>0</v>
      </c>
      <c r="V12" s="89">
        <f t="shared" si="6"/>
        <v>0</v>
      </c>
      <c r="W12" s="59">
        <f t="shared" si="7"/>
        <v>0</v>
      </c>
      <c r="X12" s="59">
        <f t="shared" si="23"/>
        <v>0</v>
      </c>
      <c r="Y12" s="59">
        <f t="shared" si="24"/>
        <v>0</v>
      </c>
      <c r="Z12" s="59">
        <f t="shared" si="25"/>
        <v>0</v>
      </c>
      <c r="AA12" s="59">
        <f t="shared" si="26"/>
        <v>0</v>
      </c>
      <c r="AB12" s="59">
        <f t="shared" si="27"/>
        <v>0</v>
      </c>
      <c r="AC12" s="59">
        <f t="shared" si="28"/>
        <v>0</v>
      </c>
      <c r="AD12" s="196">
        <f t="shared" si="29"/>
        <v>0</v>
      </c>
      <c r="AE12" s="171">
        <f t="shared" si="8"/>
        <v>0</v>
      </c>
      <c r="AF12" s="171">
        <f t="shared" si="9"/>
        <v>0</v>
      </c>
      <c r="AG12" s="171">
        <f t="shared" si="10"/>
        <v>0</v>
      </c>
      <c r="AH12" s="171">
        <f t="shared" si="11"/>
        <v>0</v>
      </c>
      <c r="AI12" s="171">
        <f t="shared" si="12"/>
        <v>0</v>
      </c>
      <c r="AJ12" s="171">
        <f t="shared" si="13"/>
        <v>0</v>
      </c>
      <c r="AK12" s="171">
        <f t="shared" si="14"/>
        <v>0</v>
      </c>
      <c r="AL12" s="171">
        <f t="shared" si="15"/>
        <v>0</v>
      </c>
      <c r="AM12" s="171">
        <f t="shared" si="16"/>
        <v>0</v>
      </c>
      <c r="AN12" s="171">
        <f t="shared" si="17"/>
        <v>0</v>
      </c>
      <c r="AO12" s="171">
        <f t="shared" si="18"/>
        <v>0</v>
      </c>
      <c r="AP12" s="171">
        <f t="shared" si="19"/>
        <v>0</v>
      </c>
      <c r="AQ12" s="56">
        <f t="shared" si="30"/>
        <v>0</v>
      </c>
    </row>
    <row r="13" spans="1:43" ht="18" customHeight="1">
      <c r="A13" s="15" t="s">
        <v>19</v>
      </c>
      <c r="B13" s="16" t="s">
        <v>163</v>
      </c>
      <c r="C13" s="49">
        <v>0</v>
      </c>
      <c r="D13" s="58">
        <f t="shared" si="0"/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178">
        <f t="shared" si="22"/>
        <v>0</v>
      </c>
      <c r="R13" s="89">
        <f t="shared" si="2"/>
        <v>0</v>
      </c>
      <c r="S13" s="89">
        <f t="shared" si="3"/>
        <v>0</v>
      </c>
      <c r="T13" s="89">
        <f t="shared" si="4"/>
        <v>0</v>
      </c>
      <c r="U13" s="89">
        <f t="shared" si="5"/>
        <v>0</v>
      </c>
      <c r="V13" s="89">
        <f t="shared" si="6"/>
        <v>0</v>
      </c>
      <c r="W13" s="59">
        <f t="shared" si="7"/>
        <v>0</v>
      </c>
      <c r="X13" s="59">
        <f t="shared" si="23"/>
        <v>0</v>
      </c>
      <c r="Y13" s="59">
        <f t="shared" si="24"/>
        <v>0</v>
      </c>
      <c r="Z13" s="59">
        <f t="shared" si="25"/>
        <v>0</v>
      </c>
      <c r="AA13" s="59">
        <f t="shared" si="26"/>
        <v>0</v>
      </c>
      <c r="AB13" s="59">
        <f t="shared" si="27"/>
        <v>0</v>
      </c>
      <c r="AC13" s="59">
        <f t="shared" si="28"/>
        <v>0</v>
      </c>
      <c r="AD13" s="196">
        <f t="shared" si="29"/>
        <v>0</v>
      </c>
      <c r="AE13" s="171">
        <f t="shared" si="8"/>
        <v>0</v>
      </c>
      <c r="AF13" s="171">
        <f t="shared" si="9"/>
        <v>0</v>
      </c>
      <c r="AG13" s="171">
        <f t="shared" si="10"/>
        <v>0</v>
      </c>
      <c r="AH13" s="171">
        <f t="shared" si="11"/>
        <v>0</v>
      </c>
      <c r="AI13" s="171">
        <f t="shared" si="12"/>
        <v>0</v>
      </c>
      <c r="AJ13" s="171">
        <f t="shared" si="13"/>
        <v>0</v>
      </c>
      <c r="AK13" s="171">
        <f t="shared" si="14"/>
        <v>0</v>
      </c>
      <c r="AL13" s="171">
        <f t="shared" si="15"/>
        <v>0</v>
      </c>
      <c r="AM13" s="171">
        <f t="shared" si="16"/>
        <v>0</v>
      </c>
      <c r="AN13" s="171">
        <f t="shared" si="17"/>
        <v>0</v>
      </c>
      <c r="AO13" s="171">
        <f t="shared" si="18"/>
        <v>0</v>
      </c>
      <c r="AP13" s="171">
        <f t="shared" si="19"/>
        <v>0</v>
      </c>
      <c r="AQ13" s="56">
        <f t="shared" si="30"/>
        <v>0</v>
      </c>
    </row>
    <row r="14" spans="1:43" ht="27.75" customHeight="1">
      <c r="A14" s="15" t="s">
        <v>164</v>
      </c>
      <c r="B14" s="16" t="s">
        <v>165</v>
      </c>
      <c r="C14" s="49">
        <f>'Розшифр. факт'!C6</f>
        <v>8.329</v>
      </c>
      <c r="D14" s="58">
        <f t="shared" si="0"/>
        <v>0.01030561742143034</v>
      </c>
      <c r="E14" s="49">
        <f>'Розшифр. факт'!D6+'Розшифр. факт'!D7</f>
        <v>4.613</v>
      </c>
      <c r="F14" s="49">
        <f>'Розшифр. факт'!E6+'Розшифр. факт'!E7</f>
        <v>5.651</v>
      </c>
      <c r="G14" s="49">
        <f>'Розшифр. факт'!F6+'Розшифр. факт'!F7</f>
        <v>5.063</v>
      </c>
      <c r="H14" s="49">
        <f>'Розшифр. факт'!G6+'Розшифр. факт'!G7</f>
        <v>2.625</v>
      </c>
      <c r="I14" s="49">
        <f>'Розшифр. факт'!H6+'Розшифр. факт'!H7</f>
        <v>2.269</v>
      </c>
      <c r="J14" s="49">
        <f>'Розшифр. факт'!I6+'Розшифр. факт'!I7</f>
        <v>0</v>
      </c>
      <c r="K14" s="49">
        <f>'Розшифр. факт'!J6+'Розшифр. факт'!J7</f>
        <v>0</v>
      </c>
      <c r="L14" s="49">
        <f>'Розшифр. факт'!K6+'Розшифр. факт'!K7</f>
        <v>0</v>
      </c>
      <c r="M14" s="49">
        <f>'Розшифр. факт'!L6+'Розшифр. факт'!L7</f>
        <v>4.924</v>
      </c>
      <c r="N14" s="49">
        <f>'Розшифр. факт'!M6+'Розшифр. факт'!M7</f>
        <v>5.577</v>
      </c>
      <c r="O14" s="49">
        <f>'Розшифр. факт'!N6+'Розшифр. факт'!N7</f>
        <v>9.633</v>
      </c>
      <c r="P14" s="49">
        <f>'Розшифр. факт'!O6+'Розшифр. факт'!O7</f>
        <v>0</v>
      </c>
      <c r="Q14" s="178">
        <f t="shared" si="22"/>
        <v>40.35499999999999</v>
      </c>
      <c r="R14" s="89">
        <f t="shared" si="2"/>
        <v>0.490351582529077</v>
      </c>
      <c r="S14" s="89">
        <f t="shared" si="3"/>
        <v>0.5545452734471666</v>
      </c>
      <c r="T14" s="89">
        <f t="shared" si="4"/>
        <v>0.5936653971789162</v>
      </c>
      <c r="U14" s="89">
        <f t="shared" si="5"/>
        <v>0.5745278656273201</v>
      </c>
      <c r="V14" s="89">
        <f t="shared" si="6"/>
        <v>0.48907368596881967</v>
      </c>
      <c r="W14" s="59">
        <f t="shared" si="7"/>
        <v>0.5187847809948033</v>
      </c>
      <c r="X14" s="59">
        <f t="shared" si="23"/>
        <v>0.4704102128186093</v>
      </c>
      <c r="Y14" s="59">
        <f t="shared" si="24"/>
        <v>0.5949742105914377</v>
      </c>
      <c r="Z14" s="59">
        <f t="shared" si="25"/>
        <v>0.6166572296461272</v>
      </c>
      <c r="AA14" s="59">
        <f t="shared" si="26"/>
        <v>0.5949329881217521</v>
      </c>
      <c r="AB14" s="59">
        <f t="shared" si="27"/>
        <v>0.5304507399158624</v>
      </c>
      <c r="AC14" s="59">
        <f t="shared" si="28"/>
        <v>0.5535868510269736</v>
      </c>
      <c r="AD14" s="196">
        <f t="shared" si="29"/>
        <v>6.581960817866865</v>
      </c>
      <c r="AE14" s="171">
        <f t="shared" si="8"/>
        <v>-4.1226484174709235</v>
      </c>
      <c r="AF14" s="171">
        <f t="shared" si="9"/>
        <v>-5.0964547265528335</v>
      </c>
      <c r="AG14" s="171">
        <f t="shared" si="10"/>
        <v>-4.469334602821084</v>
      </c>
      <c r="AH14" s="171">
        <f t="shared" si="11"/>
        <v>-2.05047213437268</v>
      </c>
      <c r="AI14" s="171">
        <f t="shared" si="12"/>
        <v>-1.7799263140311805</v>
      </c>
      <c r="AJ14" s="171">
        <f t="shared" si="13"/>
        <v>0.5187847809948033</v>
      </c>
      <c r="AK14" s="171">
        <f t="shared" si="14"/>
        <v>0.4704102128186093</v>
      </c>
      <c r="AL14" s="171">
        <f t="shared" si="15"/>
        <v>0.5949742105914377</v>
      </c>
      <c r="AM14" s="171">
        <f t="shared" si="16"/>
        <v>-4.307342770353873</v>
      </c>
      <c r="AN14" s="171">
        <f t="shared" si="17"/>
        <v>-4.9820670118782475</v>
      </c>
      <c r="AO14" s="171">
        <f t="shared" si="18"/>
        <v>-9.102549260084137</v>
      </c>
      <c r="AP14" s="171">
        <f t="shared" si="19"/>
        <v>0.5535868510269736</v>
      </c>
      <c r="AQ14" s="56">
        <f t="shared" si="30"/>
        <v>-33.77303918213313</v>
      </c>
    </row>
    <row r="15" spans="1:43" s="152" customFormat="1" ht="18" customHeight="1">
      <c r="A15" s="199" t="s">
        <v>2</v>
      </c>
      <c r="B15" s="200" t="s">
        <v>30</v>
      </c>
      <c r="C15" s="201">
        <f>'Розшифр. факт'!C8</f>
        <v>1433.557</v>
      </c>
      <c r="D15" s="183">
        <f t="shared" si="0"/>
        <v>1.7737651571393218</v>
      </c>
      <c r="E15" s="201">
        <f>'Розшифр. факт'!D8</f>
        <v>95.27</v>
      </c>
      <c r="F15" s="201">
        <f>'Розшифр. факт'!E8</f>
        <v>78.943</v>
      </c>
      <c r="G15" s="201">
        <f>'Розшифр. факт'!F8</f>
        <v>95.293</v>
      </c>
      <c r="H15" s="201">
        <f>'Розшифр. факт'!G8</f>
        <v>104.337</v>
      </c>
      <c r="I15" s="201">
        <f>'Розшифр. факт'!H8</f>
        <v>123.345</v>
      </c>
      <c r="J15" s="201">
        <f>'Розшифр. факт'!I8</f>
        <v>110.395</v>
      </c>
      <c r="K15" s="201">
        <f>'Розшифр. факт'!J8</f>
        <v>115.525</v>
      </c>
      <c r="L15" s="201">
        <f>'Розшифр. факт'!K8</f>
        <v>118.312</v>
      </c>
      <c r="M15" s="201">
        <f>'Розшифр. факт'!L8</f>
        <v>118.882</v>
      </c>
      <c r="N15" s="201">
        <f>'Розшифр. факт'!M8</f>
        <v>118.054</v>
      </c>
      <c r="O15" s="201">
        <f>'Розшифр. факт'!N8</f>
        <v>120.197</v>
      </c>
      <c r="P15" s="201">
        <f>'Розшифр. факт'!O8</f>
        <v>130.422</v>
      </c>
      <c r="Q15" s="178">
        <f t="shared" si="22"/>
        <v>1328.975</v>
      </c>
      <c r="R15" s="183">
        <f t="shared" si="2"/>
        <v>84.39751994184607</v>
      </c>
      <c r="S15" s="183">
        <f t="shared" si="3"/>
        <v>95.44630310566691</v>
      </c>
      <c r="T15" s="183">
        <f t="shared" si="4"/>
        <v>102.17951564216777</v>
      </c>
      <c r="U15" s="183">
        <f t="shared" si="5"/>
        <v>98.88563374536005</v>
      </c>
      <c r="V15" s="183">
        <f t="shared" si="6"/>
        <v>84.17757306236079</v>
      </c>
      <c r="W15" s="183">
        <f t="shared" si="7"/>
        <v>89.29133801039346</v>
      </c>
      <c r="X15" s="182">
        <f t="shared" si="23"/>
        <v>80.96528436278149</v>
      </c>
      <c r="Y15" s="182">
        <f t="shared" si="24"/>
        <v>102.40478381712447</v>
      </c>
      <c r="Z15" s="182">
        <f t="shared" si="25"/>
        <v>106.1367857077456</v>
      </c>
      <c r="AA15" s="182">
        <f t="shared" si="26"/>
        <v>102.39768875649591</v>
      </c>
      <c r="AB15" s="182">
        <f t="shared" si="27"/>
        <v>91.29924016827518</v>
      </c>
      <c r="AC15" s="182">
        <f t="shared" si="28"/>
        <v>95.28134294605294</v>
      </c>
      <c r="AD15" s="196">
        <f t="shared" si="29"/>
        <v>1132.8630092662706</v>
      </c>
      <c r="AE15" s="202">
        <f t="shared" si="8"/>
        <v>-10.872480058153926</v>
      </c>
      <c r="AF15" s="202">
        <f t="shared" si="9"/>
        <v>16.503303105666916</v>
      </c>
      <c r="AG15" s="202">
        <f t="shared" si="10"/>
        <v>6.886515642167765</v>
      </c>
      <c r="AH15" s="202">
        <f t="shared" si="11"/>
        <v>-5.45136625463995</v>
      </c>
      <c r="AI15" s="202">
        <f t="shared" si="12"/>
        <v>-39.167426937639206</v>
      </c>
      <c r="AJ15" s="202">
        <f t="shared" si="13"/>
        <v>-21.103661989606536</v>
      </c>
      <c r="AK15" s="202">
        <f t="shared" si="14"/>
        <v>-34.55971563721852</v>
      </c>
      <c r="AL15" s="202">
        <f t="shared" si="15"/>
        <v>-15.90721618287553</v>
      </c>
      <c r="AM15" s="203">
        <f t="shared" si="16"/>
        <v>-12.745214292254403</v>
      </c>
      <c r="AN15" s="203">
        <f t="shared" si="17"/>
        <v>-15.656311243504092</v>
      </c>
      <c r="AO15" s="203">
        <f t="shared" si="18"/>
        <v>-28.897759831724827</v>
      </c>
      <c r="AP15" s="203">
        <f t="shared" si="19"/>
        <v>-35.14065705394705</v>
      </c>
      <c r="AQ15" s="56">
        <f t="shared" si="30"/>
        <v>-196.11199073372939</v>
      </c>
    </row>
    <row r="16" spans="1:43" s="152" customFormat="1" ht="18" customHeight="1">
      <c r="A16" s="148" t="s">
        <v>3</v>
      </c>
      <c r="B16" s="149" t="s">
        <v>31</v>
      </c>
      <c r="C16" s="150">
        <f>SUM(C17:C19)</f>
        <v>1252.3899999999999</v>
      </c>
      <c r="D16" s="151">
        <f t="shared" si="0"/>
        <v>1.5496040584013855</v>
      </c>
      <c r="E16" s="150">
        <f aca="true" t="shared" si="31" ref="E16:J16">SUM(E17:E19)</f>
        <v>151.969</v>
      </c>
      <c r="F16" s="150">
        <f t="shared" si="31"/>
        <v>130.849</v>
      </c>
      <c r="G16" s="150">
        <f t="shared" si="31"/>
        <v>95.53500000000001</v>
      </c>
      <c r="H16" s="150">
        <f t="shared" si="31"/>
        <v>98.40899999999999</v>
      </c>
      <c r="I16" s="150">
        <f t="shared" si="31"/>
        <v>102.59</v>
      </c>
      <c r="J16" s="150">
        <f t="shared" si="31"/>
        <v>97.922</v>
      </c>
      <c r="K16" s="150">
        <f aca="true" t="shared" si="32" ref="K16:P16">SUM(K17:K19)</f>
        <v>100.017</v>
      </c>
      <c r="L16" s="150">
        <f t="shared" si="32"/>
        <v>101.245</v>
      </c>
      <c r="M16" s="150">
        <f t="shared" si="32"/>
        <v>101.222</v>
      </c>
      <c r="N16" s="150">
        <f t="shared" si="32"/>
        <v>100.479</v>
      </c>
      <c r="O16" s="150">
        <f t="shared" si="32"/>
        <v>101.24</v>
      </c>
      <c r="P16" s="150">
        <f t="shared" si="32"/>
        <v>105.52199999999999</v>
      </c>
      <c r="Q16" s="178">
        <f t="shared" si="22"/>
        <v>1286.9989999999998</v>
      </c>
      <c r="R16" s="151">
        <f t="shared" si="2"/>
        <v>73.73171070279633</v>
      </c>
      <c r="S16" s="151">
        <f t="shared" si="3"/>
        <v>83.38419438257856</v>
      </c>
      <c r="T16" s="151">
        <f t="shared" si="4"/>
        <v>89.26649138827021</v>
      </c>
      <c r="U16" s="151">
        <f t="shared" si="5"/>
        <v>86.38887665181885</v>
      </c>
      <c r="V16" s="151">
        <f t="shared" si="6"/>
        <v>73.53955979955455</v>
      </c>
      <c r="W16" s="151">
        <f t="shared" si="7"/>
        <v>78.00706829992575</v>
      </c>
      <c r="X16" s="59">
        <f t="shared" si="23"/>
        <v>70.73322684978965</v>
      </c>
      <c r="Y16" s="59">
        <f t="shared" si="24"/>
        <v>89.46329110368718</v>
      </c>
      <c r="Z16" s="59">
        <f t="shared" si="25"/>
        <v>92.72365804256371</v>
      </c>
      <c r="AA16" s="59">
        <f t="shared" si="26"/>
        <v>89.45709268745358</v>
      </c>
      <c r="AB16" s="59">
        <f t="shared" si="27"/>
        <v>79.76122009403612</v>
      </c>
      <c r="AC16" s="59">
        <f t="shared" si="28"/>
        <v>83.24008120514722</v>
      </c>
      <c r="AD16" s="196">
        <f t="shared" si="29"/>
        <v>989.6964712076218</v>
      </c>
      <c r="AE16" s="188">
        <f t="shared" si="8"/>
        <v>-78.23728929720366</v>
      </c>
      <c r="AF16" s="188">
        <f t="shared" si="9"/>
        <v>-47.46480561742143</v>
      </c>
      <c r="AG16" s="188">
        <f t="shared" si="10"/>
        <v>-6.2685086117298</v>
      </c>
      <c r="AH16" s="188">
        <f t="shared" si="11"/>
        <v>-12.020123348181144</v>
      </c>
      <c r="AI16" s="188">
        <f t="shared" si="12"/>
        <v>-29.05044020044545</v>
      </c>
      <c r="AJ16" s="188">
        <f t="shared" si="13"/>
        <v>-19.91493170007425</v>
      </c>
      <c r="AK16" s="188">
        <f t="shared" si="14"/>
        <v>-29.28377315021035</v>
      </c>
      <c r="AL16" s="188">
        <f t="shared" si="15"/>
        <v>-11.781708896312821</v>
      </c>
      <c r="AM16" s="171">
        <f t="shared" si="16"/>
        <v>-8.498341957436281</v>
      </c>
      <c r="AN16" s="171">
        <f t="shared" si="17"/>
        <v>-11.021907312546418</v>
      </c>
      <c r="AO16" s="171">
        <f t="shared" si="18"/>
        <v>-21.478779905963876</v>
      </c>
      <c r="AP16" s="171">
        <f t="shared" si="19"/>
        <v>-22.28191879485277</v>
      </c>
      <c r="AQ16" s="56">
        <f t="shared" si="30"/>
        <v>-297.3025287923783</v>
      </c>
    </row>
    <row r="17" spans="1:43" ht="18" customHeight="1">
      <c r="A17" s="204" t="s">
        <v>20</v>
      </c>
      <c r="B17" s="205" t="s">
        <v>166</v>
      </c>
      <c r="C17" s="206">
        <f>'Розшифр. факт'!C10</f>
        <v>529.269</v>
      </c>
      <c r="D17" s="184">
        <f t="shared" si="0"/>
        <v>0.6548737936154417</v>
      </c>
      <c r="E17" s="206">
        <f>'Розшифр. факт'!D10</f>
        <v>35.265</v>
      </c>
      <c r="F17" s="206">
        <f>'Розшифр. факт'!E10</f>
        <v>30.231</v>
      </c>
      <c r="G17" s="206">
        <f>'Розшифр. факт'!F10</f>
        <v>38.261</v>
      </c>
      <c r="H17" s="206">
        <f>'Розшифр. факт'!G10</f>
        <v>41.337</v>
      </c>
      <c r="I17" s="206">
        <f>'Розшифр. факт'!H10</f>
        <v>45.539</v>
      </c>
      <c r="J17" s="206">
        <f>'Розшифр. факт'!I10</f>
        <v>41.057</v>
      </c>
      <c r="K17" s="206">
        <f>'Розшифр. факт'!J10</f>
        <v>43.104</v>
      </c>
      <c r="L17" s="206">
        <f>'Розшифр. факт'!K10</f>
        <v>44.107</v>
      </c>
      <c r="M17" s="206">
        <f>'Розшифр. факт'!L10</f>
        <v>43.876</v>
      </c>
      <c r="N17" s="206">
        <f>'Розшифр. факт'!M10</f>
        <v>43.586</v>
      </c>
      <c r="O17" s="206">
        <f>'Розшифр. факт'!N10</f>
        <v>44.37</v>
      </c>
      <c r="P17" s="206">
        <f>'Розшифр. факт'!O10</f>
        <v>48.311</v>
      </c>
      <c r="Q17" s="178">
        <f t="shared" si="22"/>
        <v>499.0439999999999</v>
      </c>
      <c r="R17" s="184">
        <f t="shared" si="2"/>
        <v>31.159549974016336</v>
      </c>
      <c r="S17" s="184">
        <f t="shared" si="3"/>
        <v>35.23875883444692</v>
      </c>
      <c r="T17" s="184">
        <f t="shared" si="4"/>
        <v>37.72465975501114</v>
      </c>
      <c r="U17" s="184">
        <f t="shared" si="5"/>
        <v>36.508559120267265</v>
      </c>
      <c r="V17" s="184">
        <f t="shared" si="6"/>
        <v>31.07834562360802</v>
      </c>
      <c r="W17" s="182">
        <f t="shared" si="7"/>
        <v>32.96634677060134</v>
      </c>
      <c r="X17" s="182">
        <f t="shared" si="23"/>
        <v>29.892369183370455</v>
      </c>
      <c r="Y17" s="182">
        <f t="shared" si="24"/>
        <v>37.807828726800295</v>
      </c>
      <c r="Z17" s="182">
        <f t="shared" si="25"/>
        <v>39.18568318856719</v>
      </c>
      <c r="AA17" s="182">
        <f t="shared" si="26"/>
        <v>37.80520923162584</v>
      </c>
      <c r="AB17" s="182">
        <f t="shared" si="27"/>
        <v>33.70766390497402</v>
      </c>
      <c r="AC17" s="182">
        <f t="shared" si="28"/>
        <v>35.177855571640684</v>
      </c>
      <c r="AD17" s="196">
        <f t="shared" si="29"/>
        <v>418.25282988492944</v>
      </c>
      <c r="AE17" s="203">
        <f t="shared" si="8"/>
        <v>-4.105450025983664</v>
      </c>
      <c r="AF17" s="203">
        <f t="shared" si="9"/>
        <v>5.007758834446918</v>
      </c>
      <c r="AG17" s="203">
        <f t="shared" si="10"/>
        <v>-0.5363402449888639</v>
      </c>
      <c r="AH17" s="203">
        <f t="shared" si="11"/>
        <v>-4.828440879732739</v>
      </c>
      <c r="AI17" s="203">
        <f t="shared" si="12"/>
        <v>-14.460654376391982</v>
      </c>
      <c r="AJ17" s="203">
        <f t="shared" si="13"/>
        <v>-8.090653229398661</v>
      </c>
      <c r="AK17" s="203">
        <f t="shared" si="14"/>
        <v>-13.211630816629544</v>
      </c>
      <c r="AL17" s="203">
        <f t="shared" si="15"/>
        <v>-6.299171273199704</v>
      </c>
      <c r="AM17" s="203">
        <f t="shared" si="16"/>
        <v>-4.690316811432808</v>
      </c>
      <c r="AN17" s="203">
        <f t="shared" si="17"/>
        <v>-5.78079076837416</v>
      </c>
      <c r="AO17" s="203">
        <f t="shared" si="18"/>
        <v>-10.662336095025978</v>
      </c>
      <c r="AP17" s="203">
        <f t="shared" si="19"/>
        <v>-13.133144428359316</v>
      </c>
      <c r="AQ17" s="56">
        <f t="shared" si="30"/>
        <v>-80.7911701150705</v>
      </c>
    </row>
    <row r="18" spans="1:43" ht="18" customHeight="1">
      <c r="A18" s="15" t="s">
        <v>21</v>
      </c>
      <c r="B18" s="16" t="s">
        <v>167</v>
      </c>
      <c r="C18" s="51">
        <v>0</v>
      </c>
      <c r="D18" s="58">
        <f t="shared" si="0"/>
        <v>0</v>
      </c>
      <c r="E18" s="51">
        <f>'Розшифр. факт'!D13</f>
        <v>0.624</v>
      </c>
      <c r="F18" s="51">
        <f>'Розшифр. факт'!E13</f>
        <v>0.624</v>
      </c>
      <c r="G18" s="51">
        <f>'Розшифр. факт'!F13</f>
        <v>0.624</v>
      </c>
      <c r="H18" s="51">
        <f>'Розшифр. факт'!G13</f>
        <v>0.602</v>
      </c>
      <c r="I18" s="51">
        <f>'Розшифр. факт'!H13</f>
        <v>0.073</v>
      </c>
      <c r="J18" s="51">
        <f>'Розшифр. факт'!I13</f>
        <v>0.433</v>
      </c>
      <c r="K18" s="51">
        <f>'Розшифр. факт'!J13</f>
        <v>0.433</v>
      </c>
      <c r="L18" s="51">
        <f>'Розшифр. факт'!K13</f>
        <v>0.433</v>
      </c>
      <c r="M18" s="51">
        <f>'Розшифр. факт'!L13</f>
        <v>0.433</v>
      </c>
      <c r="N18" s="51">
        <f>'Розшифр. факт'!M13</f>
        <v>0.433</v>
      </c>
      <c r="O18" s="51">
        <f>'Розшифр. факт'!N13</f>
        <v>0.433</v>
      </c>
      <c r="P18" s="51">
        <f>'Розшифр. факт'!O13</f>
        <v>0.406</v>
      </c>
      <c r="Q18" s="178">
        <f t="shared" si="22"/>
        <v>5.550999999999998</v>
      </c>
      <c r="R18" s="58">
        <f t="shared" si="2"/>
        <v>0</v>
      </c>
      <c r="S18" s="58">
        <f t="shared" si="3"/>
        <v>0</v>
      </c>
      <c r="T18" s="58">
        <f t="shared" si="4"/>
        <v>0</v>
      </c>
      <c r="U18" s="58">
        <f t="shared" si="5"/>
        <v>0</v>
      </c>
      <c r="V18" s="58">
        <f t="shared" si="6"/>
        <v>0</v>
      </c>
      <c r="W18" s="59">
        <f t="shared" si="7"/>
        <v>0</v>
      </c>
      <c r="X18" s="59">
        <f t="shared" si="23"/>
        <v>0</v>
      </c>
      <c r="Y18" s="59">
        <f t="shared" si="24"/>
        <v>0</v>
      </c>
      <c r="Z18" s="59">
        <f t="shared" si="25"/>
        <v>0</v>
      </c>
      <c r="AA18" s="59">
        <f t="shared" si="26"/>
        <v>0</v>
      </c>
      <c r="AB18" s="59">
        <f t="shared" si="27"/>
        <v>0</v>
      </c>
      <c r="AC18" s="59">
        <f t="shared" si="28"/>
        <v>0</v>
      </c>
      <c r="AD18" s="196">
        <f t="shared" si="29"/>
        <v>0</v>
      </c>
      <c r="AE18" s="171">
        <f t="shared" si="8"/>
        <v>-0.624</v>
      </c>
      <c r="AF18" s="171">
        <f t="shared" si="9"/>
        <v>-0.624</v>
      </c>
      <c r="AG18" s="171">
        <f t="shared" si="10"/>
        <v>-0.624</v>
      </c>
      <c r="AH18" s="171">
        <f t="shared" si="11"/>
        <v>-0.602</v>
      </c>
      <c r="AI18" s="171">
        <f t="shared" si="12"/>
        <v>-0.073</v>
      </c>
      <c r="AJ18" s="171">
        <f t="shared" si="13"/>
        <v>-0.433</v>
      </c>
      <c r="AK18" s="171">
        <f t="shared" si="14"/>
        <v>-0.433</v>
      </c>
      <c r="AL18" s="171">
        <f t="shared" si="15"/>
        <v>-0.433</v>
      </c>
      <c r="AM18" s="171">
        <f t="shared" si="16"/>
        <v>-0.433</v>
      </c>
      <c r="AN18" s="171">
        <f t="shared" si="17"/>
        <v>-0.433</v>
      </c>
      <c r="AO18" s="171">
        <f t="shared" si="18"/>
        <v>-0.433</v>
      </c>
      <c r="AP18" s="171">
        <f t="shared" si="19"/>
        <v>-0.406</v>
      </c>
      <c r="AQ18" s="56">
        <f t="shared" si="30"/>
        <v>-5.550999999999998</v>
      </c>
    </row>
    <row r="19" spans="1:43" ht="18" customHeight="1">
      <c r="A19" s="15" t="s">
        <v>22</v>
      </c>
      <c r="B19" s="16" t="s">
        <v>92</v>
      </c>
      <c r="C19" s="49">
        <v>723.121</v>
      </c>
      <c r="D19" s="58">
        <f t="shared" si="0"/>
        <v>0.894730264785944</v>
      </c>
      <c r="E19" s="49">
        <f>'Розшифр. факт'!D12+'Розшифр. факт'!D11</f>
        <v>116.08</v>
      </c>
      <c r="F19" s="49">
        <f>'Розшифр. факт'!E12+'Розшифр. факт'!E11</f>
        <v>99.994</v>
      </c>
      <c r="G19" s="49">
        <f>'Розшифр. факт'!F12+'Розшифр. факт'!F11</f>
        <v>56.650000000000006</v>
      </c>
      <c r="H19" s="49">
        <f>'Розшифр. факт'!G12+'Розшифр. факт'!G11</f>
        <v>56.47</v>
      </c>
      <c r="I19" s="49">
        <f>'Розшифр. факт'!H12+'Розшифр. факт'!H11</f>
        <v>56.978</v>
      </c>
      <c r="J19" s="49">
        <f>'Розшифр. факт'!I12+'Розшифр. факт'!I11</f>
        <v>56.432</v>
      </c>
      <c r="K19" s="49">
        <f>'Розшифр. факт'!J12+'Розшифр. факт'!J11</f>
        <v>56.48</v>
      </c>
      <c r="L19" s="49">
        <f>'Розшифр. факт'!K12+'Розшифр. факт'!K11</f>
        <v>56.705</v>
      </c>
      <c r="M19" s="49">
        <f>'Розшифр. факт'!L12+'Розшифр. факт'!L11</f>
        <v>56.913</v>
      </c>
      <c r="N19" s="49">
        <f>'Розшифр. факт'!M12+'Розшифр. факт'!M11</f>
        <v>56.46</v>
      </c>
      <c r="O19" s="49">
        <f>'Розшифр. факт'!N12+'Розшифр. факт'!N11</f>
        <v>56.437</v>
      </c>
      <c r="P19" s="49">
        <f>'Розшифр. факт'!O12+'Розшифр. факт'!O11</f>
        <v>56.805</v>
      </c>
      <c r="Q19" s="178">
        <f t="shared" si="22"/>
        <v>782.4040000000001</v>
      </c>
      <c r="R19" s="58">
        <f t="shared" si="2"/>
        <v>42.572160728780005</v>
      </c>
      <c r="S19" s="58">
        <f t="shared" si="3"/>
        <v>48.145435548131644</v>
      </c>
      <c r="T19" s="58">
        <f t="shared" si="4"/>
        <v>51.54183163325909</v>
      </c>
      <c r="U19" s="58">
        <f t="shared" si="5"/>
        <v>49.88031753155159</v>
      </c>
      <c r="V19" s="58">
        <f t="shared" si="6"/>
        <v>42.461214175946544</v>
      </c>
      <c r="W19" s="59">
        <f t="shared" si="7"/>
        <v>45.04072152932442</v>
      </c>
      <c r="X19" s="59">
        <f t="shared" si="23"/>
        <v>40.8408576664192</v>
      </c>
      <c r="Y19" s="59">
        <f t="shared" si="24"/>
        <v>51.6554623768869</v>
      </c>
      <c r="Z19" s="59">
        <f t="shared" si="25"/>
        <v>53.53797485399653</v>
      </c>
      <c r="AA19" s="59">
        <f t="shared" si="26"/>
        <v>51.65188345582776</v>
      </c>
      <c r="AB19" s="59">
        <f t="shared" si="27"/>
        <v>46.05355618906211</v>
      </c>
      <c r="AC19" s="59">
        <f t="shared" si="28"/>
        <v>48.06222563350655</v>
      </c>
      <c r="AD19" s="196">
        <f t="shared" si="29"/>
        <v>571.4436413226923</v>
      </c>
      <c r="AE19" s="171">
        <f t="shared" si="8"/>
        <v>-73.50783927121999</v>
      </c>
      <c r="AF19" s="171">
        <f t="shared" si="9"/>
        <v>-51.848564451868356</v>
      </c>
      <c r="AG19" s="171">
        <f t="shared" si="10"/>
        <v>-5.108168366740912</v>
      </c>
      <c r="AH19" s="171">
        <f t="shared" si="11"/>
        <v>-6.589682468448409</v>
      </c>
      <c r="AI19" s="171">
        <f t="shared" si="12"/>
        <v>-14.516785824053457</v>
      </c>
      <c r="AJ19" s="171">
        <f t="shared" si="13"/>
        <v>-11.39127847067558</v>
      </c>
      <c r="AK19" s="171">
        <f t="shared" si="14"/>
        <v>-15.6391423335808</v>
      </c>
      <c r="AL19" s="171">
        <f t="shared" si="15"/>
        <v>-5.049537623113096</v>
      </c>
      <c r="AM19" s="171">
        <f t="shared" si="16"/>
        <v>-3.375025146003466</v>
      </c>
      <c r="AN19" s="171">
        <f t="shared" si="17"/>
        <v>-4.808116544172243</v>
      </c>
      <c r="AO19" s="171">
        <f t="shared" si="18"/>
        <v>-10.38344381093789</v>
      </c>
      <c r="AP19" s="171">
        <f t="shared" si="19"/>
        <v>-8.74277436649345</v>
      </c>
      <c r="AQ19" s="56">
        <f t="shared" si="30"/>
        <v>-210.96035867730768</v>
      </c>
    </row>
    <row r="20" spans="1:43" s="61" customFormat="1" ht="18" customHeight="1">
      <c r="A20" s="174" t="s">
        <v>4</v>
      </c>
      <c r="B20" s="179" t="s">
        <v>32</v>
      </c>
      <c r="C20" s="178">
        <f>SUM(C21:C24)</f>
        <v>2404.6769999999997</v>
      </c>
      <c r="D20" s="180">
        <f t="shared" si="0"/>
        <v>2.9753489235337782</v>
      </c>
      <c r="E20" s="178">
        <f aca="true" t="shared" si="33" ref="E20:J20">SUM(E21:E24)</f>
        <v>136.394</v>
      </c>
      <c r="F20" s="178">
        <f t="shared" si="33"/>
        <v>137.576</v>
      </c>
      <c r="G20" s="178">
        <f t="shared" si="33"/>
        <v>178.63000000000005</v>
      </c>
      <c r="H20" s="178">
        <f t="shared" si="33"/>
        <v>142.28599999999997</v>
      </c>
      <c r="I20" s="178">
        <f t="shared" si="33"/>
        <v>139.90000000000003</v>
      </c>
      <c r="J20" s="178">
        <f t="shared" si="33"/>
        <v>164.31500000000005</v>
      </c>
      <c r="K20" s="178">
        <f aca="true" t="shared" si="34" ref="K20:P20">SUM(K21:K24)</f>
        <v>164.00399999999996</v>
      </c>
      <c r="L20" s="178">
        <f t="shared" si="34"/>
        <v>149.72899999999998</v>
      </c>
      <c r="M20" s="178">
        <f t="shared" si="34"/>
        <v>185.39500000000004</v>
      </c>
      <c r="N20" s="178">
        <f t="shared" si="34"/>
        <v>188.78999999999996</v>
      </c>
      <c r="O20" s="178">
        <f t="shared" si="34"/>
        <v>146.97600000000003</v>
      </c>
      <c r="P20" s="178">
        <f t="shared" si="34"/>
        <v>194.22400000000005</v>
      </c>
      <c r="Q20" s="178">
        <f t="shared" si="22"/>
        <v>1928.219</v>
      </c>
      <c r="R20" s="59">
        <f t="shared" si="2"/>
        <v>141.5700771306607</v>
      </c>
      <c r="S20" s="59">
        <f t="shared" si="3"/>
        <v>160.10352557535262</v>
      </c>
      <c r="T20" s="59">
        <f t="shared" si="4"/>
        <v>171.39795008908683</v>
      </c>
      <c r="U20" s="59">
        <f t="shared" si="5"/>
        <v>165.8727271380846</v>
      </c>
      <c r="V20" s="59">
        <f t="shared" si="6"/>
        <v>141.20113386414252</v>
      </c>
      <c r="W20" s="59">
        <f t="shared" si="7"/>
        <v>149.77906481069041</v>
      </c>
      <c r="X20" s="59">
        <f t="shared" si="23"/>
        <v>135.81277696362284</v>
      </c>
      <c r="Y20" s="59">
        <f t="shared" si="24"/>
        <v>171.77581940237562</v>
      </c>
      <c r="Z20" s="59">
        <f t="shared" si="25"/>
        <v>178.03595353749068</v>
      </c>
      <c r="AA20" s="59">
        <f t="shared" si="26"/>
        <v>171.76391800668148</v>
      </c>
      <c r="AB20" s="59">
        <f t="shared" si="27"/>
        <v>153.14715979213062</v>
      </c>
      <c r="AC20" s="59">
        <f t="shared" si="28"/>
        <v>159.82681812546397</v>
      </c>
      <c r="AD20" s="196">
        <f t="shared" si="29"/>
        <v>1900.286924435783</v>
      </c>
      <c r="AE20" s="171">
        <f t="shared" si="8"/>
        <v>5.176077130660701</v>
      </c>
      <c r="AF20" s="171">
        <f t="shared" si="9"/>
        <v>22.527525575352627</v>
      </c>
      <c r="AG20" s="171">
        <f t="shared" si="10"/>
        <v>-7.232049910913219</v>
      </c>
      <c r="AH20" s="171">
        <f t="shared" si="11"/>
        <v>23.586727138084626</v>
      </c>
      <c r="AI20" s="171">
        <f t="shared" si="12"/>
        <v>1.3011338641424857</v>
      </c>
      <c r="AJ20" s="171">
        <f t="shared" si="13"/>
        <v>-14.53593518930964</v>
      </c>
      <c r="AK20" s="171">
        <f t="shared" si="14"/>
        <v>-28.191223036377124</v>
      </c>
      <c r="AL20" s="171">
        <f t="shared" si="15"/>
        <v>22.046819402375633</v>
      </c>
      <c r="AM20" s="171">
        <f t="shared" si="16"/>
        <v>-7.359046462509355</v>
      </c>
      <c r="AN20" s="171">
        <f t="shared" si="17"/>
        <v>-17.026081993318485</v>
      </c>
      <c r="AO20" s="171">
        <f t="shared" si="18"/>
        <v>6.171159792130595</v>
      </c>
      <c r="AP20" s="171">
        <f t="shared" si="19"/>
        <v>-34.397181874536074</v>
      </c>
      <c r="AQ20" s="56">
        <f t="shared" si="30"/>
        <v>-27.93207556421723</v>
      </c>
    </row>
    <row r="21" spans="1:43" ht="18" customHeight="1">
      <c r="A21" s="207" t="s">
        <v>168</v>
      </c>
      <c r="B21" s="205" t="s">
        <v>75</v>
      </c>
      <c r="C21" s="206">
        <f>'Розшифр. факт'!C18+'Розшифр. факт'!C26</f>
        <v>1045.509</v>
      </c>
      <c r="D21" s="184">
        <f t="shared" si="0"/>
        <v>1.2936265775798068</v>
      </c>
      <c r="E21" s="206">
        <f>'Розшифр. факт'!D18+'Розшифр. факт'!D26</f>
        <v>58.614999999999995</v>
      </c>
      <c r="F21" s="206">
        <f>'Розшифр. факт'!E18+'Розшифр. факт'!E26</f>
        <v>57.721000000000004</v>
      </c>
      <c r="G21" s="206">
        <f>'Розшифр. факт'!F18+'Розшифр. факт'!F26</f>
        <v>62.69800000000001</v>
      </c>
      <c r="H21" s="206">
        <f>'Розшифр. факт'!G18+'Розшифр. факт'!G26</f>
        <v>60.55</v>
      </c>
      <c r="I21" s="206">
        <f>'Розшифр. факт'!H18+'Розшифр. факт'!H26</f>
        <v>72.542</v>
      </c>
      <c r="J21" s="206">
        <f>'Розшифр. факт'!I18+'Розшифр. факт'!I26</f>
        <v>71.444</v>
      </c>
      <c r="K21" s="206">
        <f>'Розшифр. факт'!J18+'Розшифр. факт'!J26</f>
        <v>75.724</v>
      </c>
      <c r="L21" s="206">
        <f>'Розшифр. факт'!K18+'Розшифр. факт'!K26</f>
        <v>71.356</v>
      </c>
      <c r="M21" s="206">
        <f>'Розшифр. факт'!L18+'Розшифр. факт'!L26</f>
        <v>74.79</v>
      </c>
      <c r="N21" s="206">
        <f>'Розшифр. факт'!M18+'Розшифр. факт'!M26</f>
        <v>78.339</v>
      </c>
      <c r="O21" s="206">
        <f>'Розшифр. факт'!N18+'Розшифр. факт'!N26</f>
        <v>68.276</v>
      </c>
      <c r="P21" s="206">
        <f>'Розшифр. факт'!O18+'Розшифр. факт'!O26</f>
        <v>77.647</v>
      </c>
      <c r="Q21" s="178">
        <f t="shared" si="22"/>
        <v>829.702</v>
      </c>
      <c r="R21" s="184">
        <f t="shared" si="2"/>
        <v>61.55204618782479</v>
      </c>
      <c r="S21" s="184">
        <f t="shared" si="3"/>
        <v>69.6100461395694</v>
      </c>
      <c r="T21" s="184">
        <f t="shared" si="4"/>
        <v>74.52065262806235</v>
      </c>
      <c r="U21" s="184">
        <f t="shared" si="5"/>
        <v>72.11838807349665</v>
      </c>
      <c r="V21" s="184">
        <f t="shared" si="6"/>
        <v>61.391636492204896</v>
      </c>
      <c r="W21" s="182">
        <f t="shared" si="7"/>
        <v>65.12116191536748</v>
      </c>
      <c r="X21" s="182">
        <f t="shared" si="23"/>
        <v>59.04887876020786</v>
      </c>
      <c r="Y21" s="182">
        <f t="shared" si="24"/>
        <v>74.68494320341499</v>
      </c>
      <c r="Z21" s="182">
        <f t="shared" si="25"/>
        <v>77.40673352264291</v>
      </c>
      <c r="AA21" s="182">
        <f t="shared" si="26"/>
        <v>74.67976869710466</v>
      </c>
      <c r="AB21" s="182">
        <f t="shared" si="27"/>
        <v>66.58554720118782</v>
      </c>
      <c r="AC21" s="182">
        <f t="shared" si="28"/>
        <v>69.48973886785448</v>
      </c>
      <c r="AD21" s="196">
        <f t="shared" si="29"/>
        <v>826.2095416889383</v>
      </c>
      <c r="AE21" s="203">
        <f t="shared" si="8"/>
        <v>2.937046187824798</v>
      </c>
      <c r="AF21" s="203">
        <f t="shared" si="9"/>
        <v>11.889046139569402</v>
      </c>
      <c r="AG21" s="203">
        <f t="shared" si="10"/>
        <v>11.822652628062343</v>
      </c>
      <c r="AH21" s="203">
        <f t="shared" si="11"/>
        <v>11.56838807349665</v>
      </c>
      <c r="AI21" s="203">
        <f t="shared" si="12"/>
        <v>-11.150363507795106</v>
      </c>
      <c r="AJ21" s="203">
        <f t="shared" si="13"/>
        <v>-6.322838084632522</v>
      </c>
      <c r="AK21" s="203">
        <f t="shared" si="14"/>
        <v>-16.67512123979214</v>
      </c>
      <c r="AL21" s="203">
        <f t="shared" si="15"/>
        <v>3.328943203414994</v>
      </c>
      <c r="AM21" s="203">
        <f t="shared" si="16"/>
        <v>2.616733522642903</v>
      </c>
      <c r="AN21" s="203">
        <f t="shared" si="17"/>
        <v>-3.6592313028953356</v>
      </c>
      <c r="AO21" s="203">
        <f t="shared" si="18"/>
        <v>-1.6904527988121743</v>
      </c>
      <c r="AP21" s="203">
        <f t="shared" si="19"/>
        <v>-8.157261132145521</v>
      </c>
      <c r="AQ21" s="56">
        <f t="shared" si="30"/>
        <v>-3.4924583110617107</v>
      </c>
    </row>
    <row r="22" spans="1:43" ht="18" customHeight="1">
      <c r="A22" s="207" t="s">
        <v>169</v>
      </c>
      <c r="B22" s="205" t="s">
        <v>166</v>
      </c>
      <c r="C22" s="206">
        <f>'Розшифр. факт'!C19+'Розшифр. факт'!C27</f>
        <v>386.002</v>
      </c>
      <c r="D22" s="184">
        <f aca="true" t="shared" si="35" ref="D22:D29">C22/$C$46</f>
        <v>0.4776070279633754</v>
      </c>
      <c r="E22" s="206">
        <f>'Розшифр. факт'!D19+'Розшифр. факт'!D27</f>
        <v>22.630000000000003</v>
      </c>
      <c r="F22" s="206">
        <f>'Розшифр. факт'!E19+'Розшифр. факт'!E27</f>
        <v>20.782</v>
      </c>
      <c r="G22" s="206">
        <f>'Розшифр. факт'!F19+'Розшифр. факт'!F27</f>
        <v>22.503</v>
      </c>
      <c r="H22" s="206">
        <f>'Розшифр. факт'!G19+'Розшифр. факт'!G27</f>
        <v>21.813000000000002</v>
      </c>
      <c r="I22" s="206">
        <f>'Розшифр. факт'!H19+'Розшифр. факт'!H27</f>
        <v>26.69</v>
      </c>
      <c r="J22" s="206">
        <f>'Розшифр. факт'!I19+'Розшифр. факт'!I27</f>
        <v>26.244</v>
      </c>
      <c r="K22" s="206">
        <f>'Розшифр. факт'!J19+'Розшифр. факт'!J27</f>
        <v>27.943</v>
      </c>
      <c r="L22" s="206">
        <f>'Розшифр. факт'!K19+'Розшифр. факт'!K27</f>
        <v>26.421999999999997</v>
      </c>
      <c r="M22" s="206">
        <f>'Розшифр. факт'!L19+'Розшифр. факт'!L27</f>
        <v>27.683999999999997</v>
      </c>
      <c r="N22" s="206">
        <f>'Розшифр. факт'!M19+'Розшифр. факт'!M27</f>
        <v>28.808999999999997</v>
      </c>
      <c r="O22" s="206">
        <f>'Розшифр. факт'!N19+'Розшифр. факт'!N27</f>
        <v>24.888999999999996</v>
      </c>
      <c r="P22" s="206">
        <f>'Розшифр. факт'!O19+'Розшифр. факт'!O27</f>
        <v>28.476</v>
      </c>
      <c r="Q22" s="178">
        <f t="shared" si="22"/>
        <v>304.885</v>
      </c>
      <c r="R22" s="184">
        <f t="shared" si="2"/>
        <v>22.725019997525365</v>
      </c>
      <c r="S22" s="184">
        <f t="shared" si="3"/>
        <v>25.70003417470923</v>
      </c>
      <c r="T22" s="184">
        <f t="shared" si="4"/>
        <v>27.513030452858203</v>
      </c>
      <c r="U22" s="184">
        <f t="shared" si="5"/>
        <v>26.626114201930218</v>
      </c>
      <c r="V22" s="184">
        <f t="shared" si="6"/>
        <v>22.665796726057906</v>
      </c>
      <c r="W22" s="182">
        <f t="shared" si="7"/>
        <v>24.04273778767632</v>
      </c>
      <c r="X22" s="182">
        <f t="shared" si="23"/>
        <v>21.800850398416234</v>
      </c>
      <c r="Y22" s="182">
        <f t="shared" si="24"/>
        <v>27.57368654540955</v>
      </c>
      <c r="Z22" s="182">
        <f t="shared" si="25"/>
        <v>28.578571732244495</v>
      </c>
      <c r="AA22" s="182">
        <f t="shared" si="26"/>
        <v>27.5717761172977</v>
      </c>
      <c r="AB22" s="182">
        <f t="shared" si="27"/>
        <v>24.58338894333086</v>
      </c>
      <c r="AC22" s="182">
        <f t="shared" si="28"/>
        <v>25.655616721108636</v>
      </c>
      <c r="AD22" s="196">
        <f t="shared" si="29"/>
        <v>305.0366237985647</v>
      </c>
      <c r="AE22" s="203">
        <f t="shared" si="8"/>
        <v>0.0950199975253625</v>
      </c>
      <c r="AF22" s="203">
        <f t="shared" si="9"/>
        <v>4.918034174709231</v>
      </c>
      <c r="AG22" s="203">
        <f t="shared" si="10"/>
        <v>5.010030452858203</v>
      </c>
      <c r="AH22" s="203">
        <f t="shared" si="11"/>
        <v>4.813114201930215</v>
      </c>
      <c r="AI22" s="203">
        <f t="shared" si="12"/>
        <v>-4.024203273942096</v>
      </c>
      <c r="AJ22" s="203">
        <f t="shared" si="13"/>
        <v>-2.2012622123236802</v>
      </c>
      <c r="AK22" s="203">
        <f t="shared" si="14"/>
        <v>-6.1421496015837675</v>
      </c>
      <c r="AL22" s="203">
        <f t="shared" si="15"/>
        <v>1.1516865454095537</v>
      </c>
      <c r="AM22" s="203">
        <f t="shared" si="16"/>
        <v>0.894571732244497</v>
      </c>
      <c r="AN22" s="203">
        <f t="shared" si="17"/>
        <v>-1.237223882702299</v>
      </c>
      <c r="AO22" s="203">
        <f t="shared" si="18"/>
        <v>-0.3056110566691359</v>
      </c>
      <c r="AP22" s="203">
        <f t="shared" si="19"/>
        <v>-2.820383278891363</v>
      </c>
      <c r="AQ22" s="56">
        <f t="shared" si="30"/>
        <v>0.15162379856472086</v>
      </c>
    </row>
    <row r="23" spans="1:43" ht="18" customHeight="1">
      <c r="A23" s="52" t="s">
        <v>170</v>
      </c>
      <c r="B23" s="16" t="s">
        <v>167</v>
      </c>
      <c r="C23" s="49">
        <f>'Розшифр. факт'!C21</f>
        <v>7.6</v>
      </c>
      <c r="D23" s="58">
        <f t="shared" si="35"/>
        <v>0.009403612967087353</v>
      </c>
      <c r="E23" s="49">
        <f>'Розшифр. факт'!D21</f>
        <v>0.637</v>
      </c>
      <c r="F23" s="49">
        <f>'Розшифр. факт'!E21</f>
        <v>0.637</v>
      </c>
      <c r="G23" s="49">
        <f>'Розшифр. факт'!F21</f>
        <v>0.805</v>
      </c>
      <c r="H23" s="49">
        <f>'Розшифр. факт'!G21</f>
        <v>0.914</v>
      </c>
      <c r="I23" s="49">
        <f>'Розшифр. факт'!H21</f>
        <v>0.622</v>
      </c>
      <c r="J23" s="49">
        <f>'Розшифр. факт'!I21</f>
        <v>0.914</v>
      </c>
      <c r="K23" s="49">
        <f>'Розшифр. факт'!J21</f>
        <v>0.914</v>
      </c>
      <c r="L23" s="49">
        <f>'Розшифр. факт'!K21</f>
        <v>0.914</v>
      </c>
      <c r="M23" s="49">
        <f>'Розшифр. факт'!L21</f>
        <v>0.914</v>
      </c>
      <c r="N23" s="49">
        <f>'Розшифр. факт'!M21</f>
        <v>0.914</v>
      </c>
      <c r="O23" s="49">
        <f>'Розшифр. факт'!N21</f>
        <v>0.914</v>
      </c>
      <c r="P23" s="49">
        <f>'Розшифр. факт'!O21</f>
        <v>0.914</v>
      </c>
      <c r="Q23" s="178">
        <f t="shared" si="22"/>
        <v>10.012999999999998</v>
      </c>
      <c r="R23" s="58">
        <f t="shared" si="2"/>
        <v>0.4474333085869834</v>
      </c>
      <c r="S23" s="58">
        <f t="shared" si="3"/>
        <v>0.5060084137589705</v>
      </c>
      <c r="T23" s="58">
        <f t="shared" si="4"/>
        <v>0.5417045285820341</v>
      </c>
      <c r="U23" s="58">
        <f t="shared" si="5"/>
        <v>0.5242420193021529</v>
      </c>
      <c r="V23" s="58">
        <f t="shared" si="6"/>
        <v>0.4462672605790645</v>
      </c>
      <c r="W23" s="59">
        <f t="shared" si="7"/>
        <v>0.4733778767631774</v>
      </c>
      <c r="X23" s="59">
        <f t="shared" si="23"/>
        <v>0.42923731749566935</v>
      </c>
      <c r="Y23" s="59">
        <f t="shared" si="24"/>
        <v>0.5428987874288541</v>
      </c>
      <c r="Z23" s="59">
        <f t="shared" si="25"/>
        <v>0.562683989111606</v>
      </c>
      <c r="AA23" s="59">
        <f t="shared" si="26"/>
        <v>0.5428611729769858</v>
      </c>
      <c r="AB23" s="59">
        <f t="shared" si="27"/>
        <v>0.4840227666419203</v>
      </c>
      <c r="AC23" s="59">
        <f t="shared" si="28"/>
        <v>0.5051338777530313</v>
      </c>
      <c r="AD23" s="196">
        <f t="shared" si="29"/>
        <v>6.005871318980449</v>
      </c>
      <c r="AE23" s="171">
        <f t="shared" si="8"/>
        <v>-0.18956669141301663</v>
      </c>
      <c r="AF23" s="171">
        <f t="shared" si="9"/>
        <v>-0.13099158624102947</v>
      </c>
      <c r="AG23" s="171">
        <f t="shared" si="10"/>
        <v>-0.26329547141796594</v>
      </c>
      <c r="AH23" s="171">
        <f t="shared" si="11"/>
        <v>-0.3897579806978472</v>
      </c>
      <c r="AI23" s="171">
        <f t="shared" si="12"/>
        <v>-0.17573273942093548</v>
      </c>
      <c r="AJ23" s="171">
        <f t="shared" si="13"/>
        <v>-0.44062212323682265</v>
      </c>
      <c r="AK23" s="171">
        <f t="shared" si="14"/>
        <v>-0.4847626825043307</v>
      </c>
      <c r="AL23" s="171">
        <f t="shared" si="15"/>
        <v>-0.3711012125711459</v>
      </c>
      <c r="AM23" s="171">
        <f t="shared" si="16"/>
        <v>-0.35131601088839404</v>
      </c>
      <c r="AN23" s="171">
        <f t="shared" si="17"/>
        <v>-0.37113882702301426</v>
      </c>
      <c r="AO23" s="171">
        <f t="shared" si="18"/>
        <v>-0.42997723335807975</v>
      </c>
      <c r="AP23" s="171">
        <f t="shared" si="19"/>
        <v>-0.4088661222469687</v>
      </c>
      <c r="AQ23" s="56">
        <f t="shared" si="30"/>
        <v>-4.00712868101955</v>
      </c>
    </row>
    <row r="24" spans="1:43" ht="18" customHeight="1">
      <c r="A24" s="52" t="s">
        <v>171</v>
      </c>
      <c r="B24" s="16" t="s">
        <v>172</v>
      </c>
      <c r="C24" s="49">
        <v>965.566</v>
      </c>
      <c r="D24" s="58">
        <f t="shared" si="35"/>
        <v>1.194711705023509</v>
      </c>
      <c r="E24" s="49">
        <f>'Розшифр. факт'!D16-'Розшифр. факт'!D18-'Розшифр. факт'!D19-'Розшифр. факт'!D21-'Розшифр. факт'!D26-'Розшифр. факт'!D27</f>
        <v>54.51200000000001</v>
      </c>
      <c r="F24" s="49">
        <f>'Розшифр. факт'!E16-'Розшифр. факт'!E18-'Розшифр. факт'!E19-'Розшифр. факт'!E21-'Розшифр. факт'!E26-'Розшифр. факт'!E27</f>
        <v>58.435999999999986</v>
      </c>
      <c r="G24" s="49">
        <f>'Розшифр. факт'!F16-'Розшифр. факт'!F18-'Розшифр. факт'!F19-'Розшифр. факт'!F21-'Розшифр. факт'!F26-'Розшифр. факт'!F27</f>
        <v>92.62400000000002</v>
      </c>
      <c r="H24" s="49">
        <f>'Розшифр. факт'!G16-'Розшифр. факт'!G18-'Розшифр. факт'!G19-'Розшифр. факт'!G21-'Розшифр. факт'!G26-'Розшифр. факт'!G27</f>
        <v>59.008999999999965</v>
      </c>
      <c r="I24" s="49">
        <f>'Розшифр. факт'!H16-'Розшифр. факт'!H18-'Розшифр. факт'!H19-'Розшифр. факт'!H21-'Розшифр. факт'!H26-'Розшифр. факт'!H27</f>
        <v>40.04600000000002</v>
      </c>
      <c r="J24" s="49">
        <f>'Розшифр. факт'!I16-'Розшифр. факт'!I18-'Розшифр. факт'!I19-'Розшифр. факт'!I21-'Розшифр. факт'!I26-'Розшифр. факт'!I27</f>
        <v>65.71300000000005</v>
      </c>
      <c r="K24" s="49">
        <f>'Розшифр. факт'!J16-'Розшифр. факт'!J18-'Розшифр. факт'!J19-'Розшифр. факт'!J21-'Розшифр. факт'!J26-'Розшифр. факт'!J27</f>
        <v>59.422999999999966</v>
      </c>
      <c r="L24" s="49">
        <f>'Розшифр. факт'!K16-'Розшифр. факт'!K18-'Розшифр. факт'!K19-'Розшифр. факт'!K21-'Розшифр. факт'!K26-'Розшифр. факт'!K27</f>
        <v>51.03699999999999</v>
      </c>
      <c r="M24" s="49">
        <f>'Розшифр. факт'!L16-'Розшифр. факт'!L18-'Розшифр. факт'!L19-'Розшифр. факт'!L21-'Розшифр. факт'!L26-'Розшифр. факт'!L27</f>
        <v>82.00700000000003</v>
      </c>
      <c r="N24" s="49">
        <f>'Розшифр. факт'!M16-'Розшифр. факт'!M18-'Розшифр. факт'!M19-'Розшифр. факт'!M21-'Розшифр. факт'!M26-'Розшифр. факт'!M27</f>
        <v>80.72799999999998</v>
      </c>
      <c r="O24" s="49">
        <f>'Розшифр. факт'!N16-'Розшифр. факт'!N18-'Розшифр. факт'!N19-'Розшифр. факт'!N21-'Розшифр. факт'!N26-'Розшифр. факт'!N27</f>
        <v>52.897000000000034</v>
      </c>
      <c r="P24" s="49">
        <f>'Розшифр. факт'!O16-'Розшифр. факт'!O18-'Розшифр. факт'!O19-'Розшифр. факт'!O21-'Розшифр. факт'!O26-'Розшифр. факт'!O27</f>
        <v>87.18700000000004</v>
      </c>
      <c r="Q24" s="178">
        <f t="shared" si="22"/>
        <v>783.619</v>
      </c>
      <c r="R24" s="58">
        <f t="shared" si="2"/>
        <v>56.84557763672358</v>
      </c>
      <c r="S24" s="58">
        <f t="shared" si="3"/>
        <v>64.28743684731502</v>
      </c>
      <c r="T24" s="58">
        <f t="shared" si="4"/>
        <v>68.82256247958426</v>
      </c>
      <c r="U24" s="58">
        <f t="shared" si="5"/>
        <v>66.60398284335561</v>
      </c>
      <c r="V24" s="58">
        <f t="shared" si="6"/>
        <v>56.69743338530067</v>
      </c>
      <c r="W24" s="59">
        <f t="shared" si="7"/>
        <v>60.141787230883445</v>
      </c>
      <c r="X24" s="59">
        <f t="shared" si="23"/>
        <v>54.53381048750309</v>
      </c>
      <c r="Y24" s="59">
        <f t="shared" si="24"/>
        <v>68.97429086612225</v>
      </c>
      <c r="Z24" s="59">
        <f t="shared" si="25"/>
        <v>71.48796429349171</v>
      </c>
      <c r="AA24" s="59">
        <f t="shared" si="26"/>
        <v>68.96951201930214</v>
      </c>
      <c r="AB24" s="59">
        <f t="shared" si="27"/>
        <v>61.494200880970055</v>
      </c>
      <c r="AC24" s="59">
        <f t="shared" si="28"/>
        <v>64.17632865874783</v>
      </c>
      <c r="AD24" s="196">
        <f t="shared" si="29"/>
        <v>763.0348876292996</v>
      </c>
      <c r="AE24" s="171">
        <f t="shared" si="8"/>
        <v>2.333577636723575</v>
      </c>
      <c r="AF24" s="171">
        <f t="shared" si="9"/>
        <v>5.8514368473150355</v>
      </c>
      <c r="AG24" s="171">
        <f t="shared" si="10"/>
        <v>-23.80143752041576</v>
      </c>
      <c r="AH24" s="171">
        <f t="shared" si="11"/>
        <v>7.594982843355645</v>
      </c>
      <c r="AI24" s="171">
        <f t="shared" si="12"/>
        <v>16.65143338530065</v>
      </c>
      <c r="AJ24" s="171">
        <f t="shared" si="13"/>
        <v>-5.571212769116606</v>
      </c>
      <c r="AK24" s="171">
        <f t="shared" si="14"/>
        <v>-4.889189512496877</v>
      </c>
      <c r="AL24" s="171">
        <f t="shared" si="15"/>
        <v>17.937290866122254</v>
      </c>
      <c r="AM24" s="171">
        <f t="shared" si="16"/>
        <v>-10.519035706508319</v>
      </c>
      <c r="AN24" s="171">
        <f t="shared" si="17"/>
        <v>-11.758487980697836</v>
      </c>
      <c r="AO24" s="171">
        <f t="shared" si="18"/>
        <v>8.597200880970021</v>
      </c>
      <c r="AP24" s="171">
        <f t="shared" si="19"/>
        <v>-23.010671341252205</v>
      </c>
      <c r="AQ24" s="56">
        <f t="shared" si="30"/>
        <v>-20.584112370700424</v>
      </c>
    </row>
    <row r="25" spans="1:43" s="153" customFormat="1" ht="18" customHeight="1">
      <c r="A25" s="174" t="s">
        <v>23</v>
      </c>
      <c r="B25" s="175" t="s">
        <v>33</v>
      </c>
      <c r="C25" s="176">
        <f>SUM(C26:C29)</f>
        <v>563.436</v>
      </c>
      <c r="D25" s="177">
        <f t="shared" si="35"/>
        <v>0.6971492204899777</v>
      </c>
      <c r="E25" s="176">
        <f aca="true" t="shared" si="36" ref="E25:J25">SUM(E26:E29)</f>
        <v>31.137000000000008</v>
      </c>
      <c r="F25" s="176">
        <f t="shared" si="36"/>
        <v>30.707000000000008</v>
      </c>
      <c r="G25" s="176">
        <f t="shared" si="36"/>
        <v>37.161</v>
      </c>
      <c r="H25" s="176">
        <f t="shared" si="36"/>
        <v>37.909</v>
      </c>
      <c r="I25" s="176">
        <f t="shared" si="36"/>
        <v>42.23300000000001</v>
      </c>
      <c r="J25" s="176">
        <f t="shared" si="36"/>
        <v>34.854</v>
      </c>
      <c r="K25" s="176">
        <f aca="true" t="shared" si="37" ref="K25:P25">SUM(K26:K29)</f>
        <v>39.753</v>
      </c>
      <c r="L25" s="176">
        <f t="shared" si="37"/>
        <v>40.552</v>
      </c>
      <c r="M25" s="176">
        <f t="shared" si="37"/>
        <v>42.629</v>
      </c>
      <c r="N25" s="176">
        <f t="shared" si="37"/>
        <v>43.46000000000001</v>
      </c>
      <c r="O25" s="176">
        <f t="shared" si="37"/>
        <v>40.708000000000006</v>
      </c>
      <c r="P25" s="176">
        <f t="shared" si="37"/>
        <v>42.970000000000006</v>
      </c>
      <c r="Q25" s="178">
        <f t="shared" si="22"/>
        <v>464.07300000000015</v>
      </c>
      <c r="R25" s="151">
        <f t="shared" si="2"/>
        <v>33.171057060133634</v>
      </c>
      <c r="S25" s="151">
        <f t="shared" si="3"/>
        <v>37.5135995545657</v>
      </c>
      <c r="T25" s="151">
        <f t="shared" si="4"/>
        <v>40.15997799554566</v>
      </c>
      <c r="U25" s="151">
        <f t="shared" si="5"/>
        <v>38.86537189309577</v>
      </c>
      <c r="V25" s="151">
        <f t="shared" si="6"/>
        <v>33.084610556792875</v>
      </c>
      <c r="W25" s="151">
        <f t="shared" si="7"/>
        <v>35.094491759465484</v>
      </c>
      <c r="X25" s="59">
        <f t="shared" si="23"/>
        <v>31.822073318485526</v>
      </c>
      <c r="Y25" s="59">
        <f t="shared" si="24"/>
        <v>40.24851594654788</v>
      </c>
      <c r="Z25" s="59">
        <f t="shared" si="25"/>
        <v>41.7153179064588</v>
      </c>
      <c r="AA25" s="59">
        <f t="shared" si="26"/>
        <v>40.24572734966593</v>
      </c>
      <c r="AB25" s="59">
        <f t="shared" si="27"/>
        <v>35.88366467706013</v>
      </c>
      <c r="AC25" s="59">
        <f t="shared" si="28"/>
        <v>37.44876467706013</v>
      </c>
      <c r="AD25" s="196">
        <f t="shared" si="29"/>
        <v>445.25317269487755</v>
      </c>
      <c r="AE25" s="188">
        <f t="shared" si="8"/>
        <v>2.0340570601336267</v>
      </c>
      <c r="AF25" s="188">
        <f t="shared" si="9"/>
        <v>6.806599554565693</v>
      </c>
      <c r="AG25" s="188">
        <f t="shared" si="10"/>
        <v>2.9989779955456584</v>
      </c>
      <c r="AH25" s="188">
        <f t="shared" si="11"/>
        <v>0.9563718930957705</v>
      </c>
      <c r="AI25" s="188">
        <f t="shared" si="12"/>
        <v>-9.148389443207137</v>
      </c>
      <c r="AJ25" s="188">
        <f t="shared" si="13"/>
        <v>0.24049175946548473</v>
      </c>
      <c r="AK25" s="188">
        <f t="shared" si="14"/>
        <v>-7.9309266815144746</v>
      </c>
      <c r="AL25" s="188">
        <f t="shared" si="15"/>
        <v>-0.3034840534521166</v>
      </c>
      <c r="AM25" s="171">
        <f t="shared" si="16"/>
        <v>-0.9136820935411976</v>
      </c>
      <c r="AN25" s="171">
        <f t="shared" si="17"/>
        <v>-3.214272650334081</v>
      </c>
      <c r="AO25" s="171">
        <f t="shared" si="18"/>
        <v>-4.8243353229398735</v>
      </c>
      <c r="AP25" s="171">
        <f t="shared" si="19"/>
        <v>-5.521235322939873</v>
      </c>
      <c r="AQ25" s="56">
        <f t="shared" si="30"/>
        <v>-18.81982730512252</v>
      </c>
    </row>
    <row r="26" spans="1:43" ht="18" customHeight="1">
      <c r="A26" s="207" t="s">
        <v>71</v>
      </c>
      <c r="B26" s="205" t="s">
        <v>75</v>
      </c>
      <c r="C26" s="206">
        <f>'Розшифр. факт'!C61</f>
        <v>334.392</v>
      </c>
      <c r="D26" s="184">
        <f t="shared" si="35"/>
        <v>0.4137490720118782</v>
      </c>
      <c r="E26" s="206">
        <f>'Розшифр. факт'!D61</f>
        <v>15.68</v>
      </c>
      <c r="F26" s="206">
        <f>'Розшифр. факт'!E61</f>
        <v>16.909</v>
      </c>
      <c r="G26" s="206">
        <f>'Розшифр. факт'!F61</f>
        <v>20.688</v>
      </c>
      <c r="H26" s="206">
        <f>'Розшифр. факт'!G61</f>
        <v>19.166</v>
      </c>
      <c r="I26" s="206">
        <f>'Розшифр. факт'!H61</f>
        <v>24.132</v>
      </c>
      <c r="J26" s="206">
        <f>'Розшифр. факт'!I61</f>
        <v>19.906</v>
      </c>
      <c r="K26" s="206">
        <f>'Розшифр. факт'!J61</f>
        <v>22.844</v>
      </c>
      <c r="L26" s="206">
        <f>'Розшифр. факт'!K61</f>
        <v>23.137</v>
      </c>
      <c r="M26" s="206">
        <f>'Розшифр. факт'!L61</f>
        <v>23.762</v>
      </c>
      <c r="N26" s="206">
        <f>'Розшифр. факт'!M61</f>
        <v>23.68</v>
      </c>
      <c r="O26" s="206">
        <f>'Розшифр. факт'!N61</f>
        <v>23.623</v>
      </c>
      <c r="P26" s="206">
        <f>'Розшифр. факт'!O61</f>
        <v>23.215</v>
      </c>
      <c r="Q26" s="178">
        <f t="shared" si="22"/>
        <v>256.74199999999996</v>
      </c>
      <c r="R26" s="184">
        <f t="shared" si="2"/>
        <v>19.686594595397178</v>
      </c>
      <c r="S26" s="184">
        <f t="shared" si="3"/>
        <v>22.263837564959168</v>
      </c>
      <c r="T26" s="184">
        <f t="shared" si="4"/>
        <v>23.834429042316255</v>
      </c>
      <c r="U26" s="184">
        <f t="shared" si="5"/>
        <v>23.0660970155902</v>
      </c>
      <c r="V26" s="184">
        <f t="shared" si="6"/>
        <v>19.635289710467706</v>
      </c>
      <c r="W26" s="182">
        <f t="shared" si="7"/>
        <v>20.828128285077952</v>
      </c>
      <c r="X26" s="182">
        <f t="shared" si="23"/>
        <v>18.885990141054194</v>
      </c>
      <c r="Y26" s="182">
        <f t="shared" si="24"/>
        <v>23.886975174461764</v>
      </c>
      <c r="Z26" s="182">
        <f t="shared" si="25"/>
        <v>24.75750322197476</v>
      </c>
      <c r="AA26" s="182">
        <f t="shared" si="26"/>
        <v>23.885320178173718</v>
      </c>
      <c r="AB26" s="182">
        <f t="shared" si="27"/>
        <v>21.296492234595394</v>
      </c>
      <c r="AC26" s="182">
        <f t="shared" si="28"/>
        <v>22.225358901262062</v>
      </c>
      <c r="AD26" s="196">
        <f t="shared" si="29"/>
        <v>264.25201606533034</v>
      </c>
      <c r="AE26" s="203">
        <f t="shared" si="8"/>
        <v>4.006594595397178</v>
      </c>
      <c r="AF26" s="203">
        <f t="shared" si="9"/>
        <v>5.354837564959169</v>
      </c>
      <c r="AG26" s="203">
        <f t="shared" si="10"/>
        <v>3.1464290423162566</v>
      </c>
      <c r="AH26" s="203">
        <f t="shared" si="11"/>
        <v>3.900097015590198</v>
      </c>
      <c r="AI26" s="203">
        <f t="shared" si="12"/>
        <v>-4.496710289532295</v>
      </c>
      <c r="AJ26" s="203">
        <f t="shared" si="13"/>
        <v>0.9221282850779531</v>
      </c>
      <c r="AK26" s="203">
        <f t="shared" si="14"/>
        <v>-3.9580098589458075</v>
      </c>
      <c r="AL26" s="203">
        <f t="shared" si="15"/>
        <v>0.7499751744617633</v>
      </c>
      <c r="AM26" s="203">
        <f t="shared" si="16"/>
        <v>0.9955032219747579</v>
      </c>
      <c r="AN26" s="203">
        <f t="shared" si="17"/>
        <v>0.20532017817371795</v>
      </c>
      <c r="AO26" s="203">
        <f t="shared" si="18"/>
        <v>-2.3265077654046067</v>
      </c>
      <c r="AP26" s="203">
        <f t="shared" si="19"/>
        <v>-0.9896410987379376</v>
      </c>
      <c r="AQ26" s="56">
        <f t="shared" si="30"/>
        <v>7.510016065330348</v>
      </c>
    </row>
    <row r="27" spans="1:43" ht="18" customHeight="1">
      <c r="A27" s="207" t="s">
        <v>72</v>
      </c>
      <c r="B27" s="205" t="s">
        <v>166</v>
      </c>
      <c r="C27" s="206">
        <f>'Розшифр. факт'!C62</f>
        <v>123.458</v>
      </c>
      <c r="D27" s="184">
        <f t="shared" si="35"/>
        <v>0.1527567433803514</v>
      </c>
      <c r="E27" s="206">
        <f>'Розшифр. факт'!D62</f>
        <v>5.789</v>
      </c>
      <c r="F27" s="206">
        <f>'Розшифр. факт'!E62</f>
        <v>6.243</v>
      </c>
      <c r="G27" s="206">
        <f>'Розшифр. факт'!F62</f>
        <v>7.63</v>
      </c>
      <c r="H27" s="206">
        <f>'Розшифр. факт'!G62</f>
        <v>7.076</v>
      </c>
      <c r="I27" s="206">
        <f>'Розшифр. факт'!H62</f>
        <v>8.628</v>
      </c>
      <c r="J27" s="206">
        <f>'Розшифр. факт'!I62</f>
        <v>7.068</v>
      </c>
      <c r="K27" s="206">
        <f>'Розшифр. факт'!J62</f>
        <v>8.153</v>
      </c>
      <c r="L27" s="206">
        <f>'Розшифр. факт'!K62</f>
        <v>8.199</v>
      </c>
      <c r="M27" s="206">
        <f>'Розшифр. факт'!L62</f>
        <v>8.669</v>
      </c>
      <c r="N27" s="206">
        <f>'Розшифр. факт'!M62</f>
        <v>8.439</v>
      </c>
      <c r="O27" s="206">
        <f>'Розшифр. факт'!N62</f>
        <v>8.404</v>
      </c>
      <c r="P27" s="206">
        <f>'Розшифр. факт'!O62</f>
        <v>8.253</v>
      </c>
      <c r="Q27" s="178">
        <f t="shared" si="22"/>
        <v>92.551</v>
      </c>
      <c r="R27" s="184">
        <f t="shared" si="2"/>
        <v>7.2683186067805</v>
      </c>
      <c r="S27" s="184">
        <f t="shared" si="3"/>
        <v>8.21984036129671</v>
      </c>
      <c r="T27" s="184">
        <f t="shared" si="4"/>
        <v>8.799704959168523</v>
      </c>
      <c r="U27" s="184">
        <f t="shared" si="5"/>
        <v>8.51603568671121</v>
      </c>
      <c r="V27" s="184">
        <f t="shared" si="6"/>
        <v>7.249376770601336</v>
      </c>
      <c r="W27" s="182">
        <f t="shared" si="7"/>
        <v>7.6897744617668895</v>
      </c>
      <c r="X27" s="182">
        <f t="shared" si="23"/>
        <v>6.972734308339519</v>
      </c>
      <c r="Y27" s="182">
        <f t="shared" si="24"/>
        <v>8.819105065577826</v>
      </c>
      <c r="Z27" s="182">
        <f t="shared" si="25"/>
        <v>9.140505253650087</v>
      </c>
      <c r="AA27" s="182">
        <f t="shared" si="26"/>
        <v>8.818494038604305</v>
      </c>
      <c r="AB27" s="182">
        <f t="shared" si="27"/>
        <v>7.862695095273447</v>
      </c>
      <c r="AC27" s="182">
        <f t="shared" si="28"/>
        <v>8.205633984162336</v>
      </c>
      <c r="AD27" s="196">
        <f t="shared" si="29"/>
        <v>97.56221859193269</v>
      </c>
      <c r="AE27" s="203">
        <f t="shared" si="8"/>
        <v>1.4793186067805006</v>
      </c>
      <c r="AF27" s="203">
        <f t="shared" si="9"/>
        <v>1.9768403612967091</v>
      </c>
      <c r="AG27" s="203">
        <f t="shared" si="10"/>
        <v>1.1697049591685227</v>
      </c>
      <c r="AH27" s="203">
        <f t="shared" si="11"/>
        <v>1.4400356867112096</v>
      </c>
      <c r="AI27" s="203">
        <f t="shared" si="12"/>
        <v>-1.3786232293986638</v>
      </c>
      <c r="AJ27" s="203">
        <f t="shared" si="13"/>
        <v>0.6217744617668899</v>
      </c>
      <c r="AK27" s="203">
        <f t="shared" si="14"/>
        <v>-1.1802656916604812</v>
      </c>
      <c r="AL27" s="203">
        <f t="shared" si="15"/>
        <v>0.6201050655778264</v>
      </c>
      <c r="AM27" s="203">
        <f t="shared" si="16"/>
        <v>0.47150525365008633</v>
      </c>
      <c r="AN27" s="203">
        <f t="shared" si="17"/>
        <v>0.37949403860430486</v>
      </c>
      <c r="AO27" s="203">
        <f t="shared" si="18"/>
        <v>-0.5413049047265526</v>
      </c>
      <c r="AP27" s="203">
        <f t="shared" si="19"/>
        <v>-0.047366015837663866</v>
      </c>
      <c r="AQ27" s="56">
        <f t="shared" si="30"/>
        <v>5.011218591932688</v>
      </c>
    </row>
    <row r="28" spans="1:43" ht="18" customHeight="1">
      <c r="A28" s="52" t="s">
        <v>73</v>
      </c>
      <c r="B28" s="16" t="s">
        <v>167</v>
      </c>
      <c r="C28" s="49">
        <f>'Розшифр. факт'!C66</f>
        <v>9.2</v>
      </c>
      <c r="D28" s="58">
        <f t="shared" si="35"/>
        <v>0.011383320960158375</v>
      </c>
      <c r="E28" s="49">
        <f>'Розшифр. факт'!D66</f>
        <v>0.959</v>
      </c>
      <c r="F28" s="49">
        <f>'Розшифр. факт'!E66</f>
        <v>0.959</v>
      </c>
      <c r="G28" s="49">
        <f>'Розшифр. факт'!F66</f>
        <v>0.959</v>
      </c>
      <c r="H28" s="49">
        <f>'Розшифр. факт'!G66</f>
        <v>0.959</v>
      </c>
      <c r="I28" s="49">
        <f>'Розшифр. факт'!H66</f>
        <v>0.801</v>
      </c>
      <c r="J28" s="49">
        <f>'Розшифр. факт'!I66</f>
        <v>0.886</v>
      </c>
      <c r="K28" s="49">
        <f>'Розшифр. факт'!J66</f>
        <v>0.886</v>
      </c>
      <c r="L28" s="49">
        <f>'Розшифр. факт'!K66</f>
        <v>0.886</v>
      </c>
      <c r="M28" s="49">
        <f>'Розшифр. факт'!L66</f>
        <v>0.886</v>
      </c>
      <c r="N28" s="49">
        <f>'Розшифр. факт'!M66</f>
        <v>0.886</v>
      </c>
      <c r="O28" s="49">
        <f>'Розшифр. факт'!N66</f>
        <v>0.886</v>
      </c>
      <c r="P28" s="49">
        <f>'Розшифр. факт'!O66</f>
        <v>0.886</v>
      </c>
      <c r="Q28" s="178">
        <f t="shared" si="22"/>
        <v>10.838999999999997</v>
      </c>
      <c r="R28" s="58">
        <f t="shared" si="2"/>
        <v>0.5416297946052957</v>
      </c>
      <c r="S28" s="58">
        <f t="shared" si="3"/>
        <v>0.6125365008661222</v>
      </c>
      <c r="T28" s="58">
        <f t="shared" si="4"/>
        <v>0.6557475872308833</v>
      </c>
      <c r="U28" s="58">
        <f t="shared" si="5"/>
        <v>0.6346087602078693</v>
      </c>
      <c r="V28" s="58">
        <f t="shared" si="6"/>
        <v>0.540218262806236</v>
      </c>
      <c r="W28" s="59">
        <f t="shared" si="7"/>
        <v>0.5730363771343726</v>
      </c>
      <c r="X28" s="59">
        <f t="shared" si="23"/>
        <v>0.5196030685473892</v>
      </c>
      <c r="Y28" s="59">
        <f t="shared" si="24"/>
        <v>0.6571932689928235</v>
      </c>
      <c r="Z28" s="59">
        <f t="shared" si="25"/>
        <v>0.6811437762929967</v>
      </c>
      <c r="AA28" s="59">
        <f t="shared" si="26"/>
        <v>0.6571477357089829</v>
      </c>
      <c r="AB28" s="59">
        <f t="shared" si="27"/>
        <v>0.5859222964612719</v>
      </c>
      <c r="AC28" s="59">
        <f t="shared" si="28"/>
        <v>0.6114778520168275</v>
      </c>
      <c r="AD28" s="196">
        <f t="shared" si="29"/>
        <v>7.27026528087107</v>
      </c>
      <c r="AE28" s="171">
        <f t="shared" si="8"/>
        <v>-0.41737020539470426</v>
      </c>
      <c r="AF28" s="171">
        <f t="shared" si="9"/>
        <v>-0.34646349913387775</v>
      </c>
      <c r="AG28" s="171">
        <f t="shared" si="10"/>
        <v>-0.30325241276911663</v>
      </c>
      <c r="AH28" s="171">
        <f t="shared" si="11"/>
        <v>-0.3243912397921307</v>
      </c>
      <c r="AI28" s="171">
        <f t="shared" si="12"/>
        <v>-0.2607817371937641</v>
      </c>
      <c r="AJ28" s="171">
        <f t="shared" si="13"/>
        <v>-0.3129636228656274</v>
      </c>
      <c r="AK28" s="171">
        <f t="shared" si="14"/>
        <v>-0.36639693145261076</v>
      </c>
      <c r="AL28" s="171">
        <f t="shared" si="15"/>
        <v>-0.22880673100717652</v>
      </c>
      <c r="AM28" s="171">
        <f t="shared" si="16"/>
        <v>-0.2048562237070033</v>
      </c>
      <c r="AN28" s="171">
        <f t="shared" si="17"/>
        <v>-0.22885226429101713</v>
      </c>
      <c r="AO28" s="171">
        <f t="shared" si="18"/>
        <v>-0.3000777035387281</v>
      </c>
      <c r="AP28" s="171">
        <f t="shared" si="19"/>
        <v>-0.27452214798317254</v>
      </c>
      <c r="AQ28" s="56">
        <f t="shared" si="30"/>
        <v>-3.5687347191289294</v>
      </c>
    </row>
    <row r="29" spans="1:43" ht="18" customHeight="1">
      <c r="A29" s="52" t="s">
        <v>74</v>
      </c>
      <c r="B29" s="16" t="s">
        <v>172</v>
      </c>
      <c r="C29" s="49">
        <f>'Розшифр. факт'!C63+'Розшифр. факт'!C64+'Розшифр. факт'!C65+'Розшифр. факт'!C67+'Розшифр. факт'!C70+'Розшифр. факт'!C71+'Розшифр. факт'!C72+'Розшифр. факт'!C76</f>
        <v>96.38600000000001</v>
      </c>
      <c r="D29" s="58">
        <f t="shared" si="35"/>
        <v>0.1192600841375897</v>
      </c>
      <c r="E29" s="49">
        <f>'Розшифр. факт'!D60-'Розшифр. факт'!D61-'Розшифр. факт'!D62-'Розшифр. факт'!D66</f>
        <v>8.709000000000005</v>
      </c>
      <c r="F29" s="49">
        <f>'Розшифр. факт'!E60-'Розшифр. факт'!E61-'Розшифр. факт'!E62-'Розшифр. факт'!E66</f>
        <v>6.596000000000009</v>
      </c>
      <c r="G29" s="49">
        <f>'Розшифр. факт'!F60-'Розшифр. факт'!F61-'Розшифр. факт'!F62-'Розшифр. факт'!F66</f>
        <v>7.884000000000004</v>
      </c>
      <c r="H29" s="49">
        <f>'Розшифр. факт'!G60-'Розшифр. факт'!G61-'Розшифр. факт'!G62-'Розшифр. факт'!G66</f>
        <v>10.707999999999998</v>
      </c>
      <c r="I29" s="49">
        <f>'Розшифр. факт'!H60-'Розшифр. факт'!H61-'Розшифр. факт'!H62-'Розшифр. факт'!H66</f>
        <v>8.672000000000002</v>
      </c>
      <c r="J29" s="49">
        <f>'Розшифр. факт'!I60-'Розшифр. факт'!I61-'Розшифр. факт'!I62-'Розшифр. факт'!I66</f>
        <v>6.994000000000001</v>
      </c>
      <c r="K29" s="49">
        <f>'Розшифр. факт'!J60-'Розшифр. факт'!J61-'Розшифр. факт'!J62-'Розшифр. факт'!J66</f>
        <v>7.869999999999998</v>
      </c>
      <c r="L29" s="49">
        <f>'Розшифр. факт'!K60-'Розшифр. факт'!K61-'Розшифр. факт'!K62-'Розшифр. факт'!K66</f>
        <v>8.33</v>
      </c>
      <c r="M29" s="49">
        <f>'Розшифр. факт'!L60-'Розшифр. факт'!L61-'Розшифр. факт'!L62-'Розшифр. факт'!L66</f>
        <v>9.311999999999998</v>
      </c>
      <c r="N29" s="49">
        <f>'Розшифр. факт'!M60-'Розшифр. факт'!M61-'Розшифр. факт'!M62-'Розшифр. факт'!M66</f>
        <v>10.455000000000009</v>
      </c>
      <c r="O29" s="49">
        <f>'Розшифр. факт'!N60-'Розшифр. факт'!N61-'Розшифр. факт'!N62-'Розшифр. факт'!N66</f>
        <v>7.795000000000004</v>
      </c>
      <c r="P29" s="49">
        <f>'Розшифр. факт'!O60-'Розшифр. факт'!O61-'Розшифр. факт'!O62-'Розшифр. факт'!O66</f>
        <v>10.616000000000007</v>
      </c>
      <c r="Q29" s="178">
        <f t="shared" si="22"/>
        <v>103.94100000000003</v>
      </c>
      <c r="R29" s="58">
        <f t="shared" si="2"/>
        <v>5.674514063350657</v>
      </c>
      <c r="S29" s="58">
        <f t="shared" si="3"/>
        <v>6.417385127443702</v>
      </c>
      <c r="T29" s="58">
        <f t="shared" si="4"/>
        <v>6.870096406829993</v>
      </c>
      <c r="U29" s="58">
        <f t="shared" si="5"/>
        <v>6.648630430586489</v>
      </c>
      <c r="V29" s="58">
        <f t="shared" si="6"/>
        <v>5.6597258129175945</v>
      </c>
      <c r="W29" s="59">
        <f t="shared" si="7"/>
        <v>6.003552635486266</v>
      </c>
      <c r="X29" s="59">
        <f t="shared" si="23"/>
        <v>5.44374580054442</v>
      </c>
      <c r="Y29" s="59">
        <f t="shared" si="24"/>
        <v>6.885242437515466</v>
      </c>
      <c r="Z29" s="59">
        <f t="shared" si="25"/>
        <v>7.136165654540956</v>
      </c>
      <c r="AA29" s="59">
        <f t="shared" si="26"/>
        <v>6.884765397178916</v>
      </c>
      <c r="AB29" s="59">
        <f t="shared" si="27"/>
        <v>6.138555050730018</v>
      </c>
      <c r="AC29" s="59">
        <f t="shared" si="28"/>
        <v>6.406293939618906</v>
      </c>
      <c r="AD29" s="196">
        <f t="shared" si="29"/>
        <v>76.16867275674338</v>
      </c>
      <c r="AE29" s="171">
        <f t="shared" si="8"/>
        <v>-3.0344859366493484</v>
      </c>
      <c r="AF29" s="171">
        <f t="shared" si="9"/>
        <v>-0.17861487255630681</v>
      </c>
      <c r="AG29" s="171">
        <f t="shared" si="10"/>
        <v>-1.0139035931700109</v>
      </c>
      <c r="AH29" s="171">
        <f t="shared" si="11"/>
        <v>-4.0593695694135095</v>
      </c>
      <c r="AI29" s="171">
        <f t="shared" si="12"/>
        <v>-3.012274187082408</v>
      </c>
      <c r="AJ29" s="171">
        <f t="shared" si="13"/>
        <v>-0.9904473645137344</v>
      </c>
      <c r="AK29" s="171">
        <f t="shared" si="14"/>
        <v>-2.4262541994555784</v>
      </c>
      <c r="AL29" s="171">
        <f t="shared" si="15"/>
        <v>-1.4447575624845337</v>
      </c>
      <c r="AM29" s="171">
        <f t="shared" si="16"/>
        <v>-2.175834345459042</v>
      </c>
      <c r="AN29" s="171">
        <f t="shared" si="17"/>
        <v>-3.5702346028210927</v>
      </c>
      <c r="AO29" s="171">
        <f t="shared" si="18"/>
        <v>-1.6564449492699866</v>
      </c>
      <c r="AP29" s="171">
        <f t="shared" si="19"/>
        <v>-4.209706060381101</v>
      </c>
      <c r="AQ29" s="56">
        <f t="shared" si="30"/>
        <v>-27.772327243256647</v>
      </c>
    </row>
    <row r="30" spans="1:43" s="152" customFormat="1" ht="18" customHeight="1">
      <c r="A30" s="174" t="s">
        <v>5</v>
      </c>
      <c r="B30" s="175" t="s">
        <v>34</v>
      </c>
      <c r="C30" s="176">
        <f>SUM(C31:C34)</f>
        <v>0</v>
      </c>
      <c r="D30" s="177">
        <f>C30/$C$46</f>
        <v>0</v>
      </c>
      <c r="E30" s="176">
        <f aca="true" t="shared" si="38" ref="E30:J30">SUM(E31:E34)</f>
        <v>22.746000000000002</v>
      </c>
      <c r="F30" s="176">
        <f t="shared" si="38"/>
        <v>25.659</v>
      </c>
      <c r="G30" s="176">
        <f t="shared" si="38"/>
        <v>27.105</v>
      </c>
      <c r="H30" s="176">
        <f t="shared" si="38"/>
        <v>21.507</v>
      </c>
      <c r="I30" s="176">
        <f t="shared" si="38"/>
        <v>0</v>
      </c>
      <c r="J30" s="176">
        <f t="shared" si="38"/>
        <v>0</v>
      </c>
      <c r="K30" s="176">
        <f aca="true" t="shared" si="39" ref="K30:P30">SUM(K31:K34)</f>
        <v>0</v>
      </c>
      <c r="L30" s="176">
        <f t="shared" si="39"/>
        <v>0</v>
      </c>
      <c r="M30" s="176">
        <f t="shared" si="39"/>
        <v>0</v>
      </c>
      <c r="N30" s="176">
        <f t="shared" si="39"/>
        <v>0</v>
      </c>
      <c r="O30" s="176">
        <f t="shared" si="39"/>
        <v>0</v>
      </c>
      <c r="P30" s="176">
        <f t="shared" si="39"/>
        <v>0</v>
      </c>
      <c r="Q30" s="178">
        <f t="shared" si="22"/>
        <v>97.01700000000001</v>
      </c>
      <c r="R30" s="151">
        <f t="shared" si="2"/>
        <v>0</v>
      </c>
      <c r="S30" s="151">
        <f t="shared" si="3"/>
        <v>0</v>
      </c>
      <c r="T30" s="151">
        <f t="shared" si="4"/>
        <v>0</v>
      </c>
      <c r="U30" s="151">
        <f t="shared" si="5"/>
        <v>0</v>
      </c>
      <c r="V30" s="151">
        <f t="shared" si="6"/>
        <v>0</v>
      </c>
      <c r="W30" s="151">
        <f t="shared" si="7"/>
        <v>0</v>
      </c>
      <c r="X30" s="59">
        <f t="shared" si="23"/>
        <v>0</v>
      </c>
      <c r="Y30" s="59">
        <f t="shared" si="24"/>
        <v>0</v>
      </c>
      <c r="Z30" s="59">
        <f t="shared" si="25"/>
        <v>0</v>
      </c>
      <c r="AA30" s="59">
        <f t="shared" si="26"/>
        <v>0</v>
      </c>
      <c r="AB30" s="59">
        <f t="shared" si="27"/>
        <v>0</v>
      </c>
      <c r="AC30" s="59">
        <f t="shared" si="28"/>
        <v>0</v>
      </c>
      <c r="AD30" s="196">
        <f t="shared" si="29"/>
        <v>0</v>
      </c>
      <c r="AE30" s="188">
        <f t="shared" si="8"/>
        <v>-22.746000000000002</v>
      </c>
      <c r="AF30" s="188">
        <f t="shared" si="9"/>
        <v>-25.659</v>
      </c>
      <c r="AG30" s="188">
        <f t="shared" si="10"/>
        <v>-27.105</v>
      </c>
      <c r="AH30" s="188">
        <f t="shared" si="11"/>
        <v>-21.507</v>
      </c>
      <c r="AI30" s="188">
        <f t="shared" si="12"/>
        <v>0</v>
      </c>
      <c r="AJ30" s="188">
        <f t="shared" si="13"/>
        <v>0</v>
      </c>
      <c r="AK30" s="188">
        <f t="shared" si="14"/>
        <v>0</v>
      </c>
      <c r="AL30" s="188">
        <f t="shared" si="15"/>
        <v>0</v>
      </c>
      <c r="AM30" s="171">
        <f t="shared" si="16"/>
        <v>0</v>
      </c>
      <c r="AN30" s="171">
        <f t="shared" si="17"/>
        <v>0</v>
      </c>
      <c r="AO30" s="171">
        <f t="shared" si="18"/>
        <v>0</v>
      </c>
      <c r="AP30" s="171">
        <f t="shared" si="19"/>
        <v>0</v>
      </c>
      <c r="AQ30" s="56">
        <f t="shared" si="30"/>
        <v>-97.01700000000001</v>
      </c>
    </row>
    <row r="31" spans="1:43" ht="18" customHeight="1">
      <c r="A31" s="52" t="s">
        <v>173</v>
      </c>
      <c r="B31" s="16" t="s">
        <v>75</v>
      </c>
      <c r="C31" s="49">
        <v>0</v>
      </c>
      <c r="D31" s="59">
        <f aca="true" t="shared" si="40" ref="D31:D36">C31/$C$46</f>
        <v>0</v>
      </c>
      <c r="E31" s="49">
        <f>'Розшифр. факт'!D83</f>
        <v>12.329</v>
      </c>
      <c r="F31" s="49">
        <f>'Розшифр. факт'!E83</f>
        <v>13.6</v>
      </c>
      <c r="G31" s="49">
        <f>'Розшифр. факт'!F83</f>
        <v>14.159</v>
      </c>
      <c r="H31" s="49">
        <f>'Розшифр. факт'!G83</f>
        <v>10.736</v>
      </c>
      <c r="I31" s="49">
        <f>'Розшифр. факт'!H83</f>
        <v>0</v>
      </c>
      <c r="J31" s="49">
        <f>'Розшифр. факт'!I83</f>
        <v>0</v>
      </c>
      <c r="K31" s="49">
        <f>'Розшифр. факт'!J83</f>
        <v>0</v>
      </c>
      <c r="L31" s="49">
        <f>'Розшифр. факт'!K83</f>
        <v>0</v>
      </c>
      <c r="M31" s="49">
        <f>'Розшифр. факт'!L83</f>
        <v>0</v>
      </c>
      <c r="N31" s="49">
        <f>'Розшифр. факт'!M83</f>
        <v>0</v>
      </c>
      <c r="O31" s="49">
        <f>'Розшифр. факт'!N83</f>
        <v>0</v>
      </c>
      <c r="P31" s="49">
        <f>'Розшифр. факт'!O83</f>
        <v>0</v>
      </c>
      <c r="Q31" s="178">
        <f t="shared" si="22"/>
        <v>50.824</v>
      </c>
      <c r="R31" s="59">
        <f t="shared" si="2"/>
        <v>0</v>
      </c>
      <c r="S31" s="59">
        <f t="shared" si="3"/>
        <v>0</v>
      </c>
      <c r="T31" s="59">
        <f t="shared" si="4"/>
        <v>0</v>
      </c>
      <c r="U31" s="59">
        <f t="shared" si="5"/>
        <v>0</v>
      </c>
      <c r="V31" s="59">
        <f t="shared" si="6"/>
        <v>0</v>
      </c>
      <c r="W31" s="59">
        <f t="shared" si="7"/>
        <v>0</v>
      </c>
      <c r="X31" s="59">
        <f t="shared" si="23"/>
        <v>0</v>
      </c>
      <c r="Y31" s="59">
        <f t="shared" si="24"/>
        <v>0</v>
      </c>
      <c r="Z31" s="59">
        <f t="shared" si="25"/>
        <v>0</v>
      </c>
      <c r="AA31" s="59">
        <f t="shared" si="26"/>
        <v>0</v>
      </c>
      <c r="AB31" s="59">
        <f t="shared" si="27"/>
        <v>0</v>
      </c>
      <c r="AC31" s="59">
        <f t="shared" si="28"/>
        <v>0</v>
      </c>
      <c r="AD31" s="196">
        <f t="shared" si="29"/>
        <v>0</v>
      </c>
      <c r="AE31" s="171">
        <f t="shared" si="8"/>
        <v>-12.329</v>
      </c>
      <c r="AF31" s="171">
        <f t="shared" si="9"/>
        <v>-13.6</v>
      </c>
      <c r="AG31" s="171">
        <f t="shared" si="10"/>
        <v>-14.159</v>
      </c>
      <c r="AH31" s="171">
        <f t="shared" si="11"/>
        <v>-10.736</v>
      </c>
      <c r="AI31" s="171">
        <f t="shared" si="12"/>
        <v>0</v>
      </c>
      <c r="AJ31" s="171">
        <f t="shared" si="13"/>
        <v>0</v>
      </c>
      <c r="AK31" s="171">
        <f t="shared" si="14"/>
        <v>0</v>
      </c>
      <c r="AL31" s="171">
        <f t="shared" si="15"/>
        <v>0</v>
      </c>
      <c r="AM31" s="171">
        <f t="shared" si="16"/>
        <v>0</v>
      </c>
      <c r="AN31" s="171">
        <f t="shared" si="17"/>
        <v>0</v>
      </c>
      <c r="AO31" s="171">
        <f t="shared" si="18"/>
        <v>0</v>
      </c>
      <c r="AP31" s="171">
        <f t="shared" si="19"/>
        <v>0</v>
      </c>
      <c r="AQ31" s="56">
        <f t="shared" si="30"/>
        <v>-50.824</v>
      </c>
    </row>
    <row r="32" spans="1:43" ht="18" customHeight="1">
      <c r="A32" s="52" t="s">
        <v>174</v>
      </c>
      <c r="B32" s="16" t="s">
        <v>166</v>
      </c>
      <c r="C32" s="49">
        <v>0</v>
      </c>
      <c r="D32" s="59">
        <f t="shared" si="40"/>
        <v>0</v>
      </c>
      <c r="E32" s="49">
        <f>'Розшифр. факт'!D84</f>
        <v>4.28</v>
      </c>
      <c r="F32" s="49">
        <f>'Розшифр. факт'!E84</f>
        <v>4.742</v>
      </c>
      <c r="G32" s="49">
        <f>'Розшифр. факт'!F84</f>
        <v>4.941</v>
      </c>
      <c r="H32" s="49">
        <f>'Розшифр. факт'!G84</f>
        <v>3.664</v>
      </c>
      <c r="I32" s="49">
        <f>'Розшифр. факт'!H84</f>
        <v>0</v>
      </c>
      <c r="J32" s="49">
        <f>'Розшифр. факт'!I84</f>
        <v>0</v>
      </c>
      <c r="K32" s="49">
        <f>'Розшифр. факт'!J84</f>
        <v>0</v>
      </c>
      <c r="L32" s="49">
        <f>'Розшифр. факт'!K84</f>
        <v>0</v>
      </c>
      <c r="M32" s="49">
        <f>'Розшифр. факт'!L84</f>
        <v>0</v>
      </c>
      <c r="N32" s="49">
        <f>'Розшифр. факт'!M84</f>
        <v>0</v>
      </c>
      <c r="O32" s="49">
        <f>'Розшифр. факт'!N84</f>
        <v>0</v>
      </c>
      <c r="P32" s="49">
        <f>'Розшифр. факт'!O84</f>
        <v>0</v>
      </c>
      <c r="Q32" s="178">
        <f t="shared" si="22"/>
        <v>17.627000000000002</v>
      </c>
      <c r="R32" s="59">
        <f t="shared" si="2"/>
        <v>0</v>
      </c>
      <c r="S32" s="59">
        <f t="shared" si="3"/>
        <v>0</v>
      </c>
      <c r="T32" s="59">
        <f t="shared" si="4"/>
        <v>0</v>
      </c>
      <c r="U32" s="59">
        <f t="shared" si="5"/>
        <v>0</v>
      </c>
      <c r="V32" s="59">
        <f t="shared" si="6"/>
        <v>0</v>
      </c>
      <c r="W32" s="59">
        <f t="shared" si="7"/>
        <v>0</v>
      </c>
      <c r="X32" s="59">
        <f t="shared" si="23"/>
        <v>0</v>
      </c>
      <c r="Y32" s="59">
        <f t="shared" si="24"/>
        <v>0</v>
      </c>
      <c r="Z32" s="59">
        <f t="shared" si="25"/>
        <v>0</v>
      </c>
      <c r="AA32" s="59">
        <f t="shared" si="26"/>
        <v>0</v>
      </c>
      <c r="AB32" s="59">
        <f t="shared" si="27"/>
        <v>0</v>
      </c>
      <c r="AC32" s="59">
        <f t="shared" si="28"/>
        <v>0</v>
      </c>
      <c r="AD32" s="196">
        <f t="shared" si="29"/>
        <v>0</v>
      </c>
      <c r="AE32" s="171">
        <f t="shared" si="8"/>
        <v>-4.28</v>
      </c>
      <c r="AF32" s="171">
        <f t="shared" si="9"/>
        <v>-4.742</v>
      </c>
      <c r="AG32" s="171">
        <f t="shared" si="10"/>
        <v>-4.941</v>
      </c>
      <c r="AH32" s="171">
        <f t="shared" si="11"/>
        <v>-3.664</v>
      </c>
      <c r="AI32" s="171">
        <f t="shared" si="12"/>
        <v>0</v>
      </c>
      <c r="AJ32" s="171">
        <f t="shared" si="13"/>
        <v>0</v>
      </c>
      <c r="AK32" s="171">
        <f t="shared" si="14"/>
        <v>0</v>
      </c>
      <c r="AL32" s="171">
        <f t="shared" si="15"/>
        <v>0</v>
      </c>
      <c r="AM32" s="171">
        <f t="shared" si="16"/>
        <v>0</v>
      </c>
      <c r="AN32" s="171">
        <f t="shared" si="17"/>
        <v>0</v>
      </c>
      <c r="AO32" s="171">
        <f t="shared" si="18"/>
        <v>0</v>
      </c>
      <c r="AP32" s="171">
        <f t="shared" si="19"/>
        <v>0</v>
      </c>
      <c r="AQ32" s="56">
        <f t="shared" si="30"/>
        <v>-17.627000000000002</v>
      </c>
    </row>
    <row r="33" spans="1:43" ht="18" customHeight="1">
      <c r="A33" s="52" t="s">
        <v>175</v>
      </c>
      <c r="B33" s="16" t="s">
        <v>167</v>
      </c>
      <c r="C33" s="49">
        <v>0</v>
      </c>
      <c r="D33" s="59">
        <f t="shared" si="40"/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178">
        <f t="shared" si="22"/>
        <v>0</v>
      </c>
      <c r="R33" s="59">
        <f t="shared" si="2"/>
        <v>0</v>
      </c>
      <c r="S33" s="59">
        <f t="shared" si="3"/>
        <v>0</v>
      </c>
      <c r="T33" s="59">
        <f t="shared" si="4"/>
        <v>0</v>
      </c>
      <c r="U33" s="59">
        <f t="shared" si="5"/>
        <v>0</v>
      </c>
      <c r="V33" s="59">
        <f t="shared" si="6"/>
        <v>0</v>
      </c>
      <c r="W33" s="59">
        <f t="shared" si="7"/>
        <v>0</v>
      </c>
      <c r="X33" s="59">
        <f t="shared" si="23"/>
        <v>0</v>
      </c>
      <c r="Y33" s="59">
        <f t="shared" si="24"/>
        <v>0</v>
      </c>
      <c r="Z33" s="59">
        <f t="shared" si="25"/>
        <v>0</v>
      </c>
      <c r="AA33" s="59">
        <f t="shared" si="26"/>
        <v>0</v>
      </c>
      <c r="AB33" s="59">
        <f t="shared" si="27"/>
        <v>0</v>
      </c>
      <c r="AC33" s="59">
        <f t="shared" si="28"/>
        <v>0</v>
      </c>
      <c r="AD33" s="196">
        <f t="shared" si="29"/>
        <v>0</v>
      </c>
      <c r="AE33" s="171">
        <f t="shared" si="8"/>
        <v>0</v>
      </c>
      <c r="AF33" s="171">
        <f t="shared" si="9"/>
        <v>0</v>
      </c>
      <c r="AG33" s="171">
        <f t="shared" si="10"/>
        <v>0</v>
      </c>
      <c r="AH33" s="171">
        <f t="shared" si="11"/>
        <v>0</v>
      </c>
      <c r="AI33" s="171">
        <f t="shared" si="12"/>
        <v>0</v>
      </c>
      <c r="AJ33" s="171">
        <f t="shared" si="13"/>
        <v>0</v>
      </c>
      <c r="AK33" s="171">
        <f t="shared" si="14"/>
        <v>0</v>
      </c>
      <c r="AL33" s="171">
        <f t="shared" si="15"/>
        <v>0</v>
      </c>
      <c r="AM33" s="171">
        <f t="shared" si="16"/>
        <v>0</v>
      </c>
      <c r="AN33" s="171">
        <f t="shared" si="17"/>
        <v>0</v>
      </c>
      <c r="AO33" s="171">
        <f t="shared" si="18"/>
        <v>0</v>
      </c>
      <c r="AP33" s="171">
        <f t="shared" si="19"/>
        <v>0</v>
      </c>
      <c r="AQ33" s="56">
        <f t="shared" si="30"/>
        <v>0</v>
      </c>
    </row>
    <row r="34" spans="1:43" ht="18" customHeight="1">
      <c r="A34" s="52" t="s">
        <v>176</v>
      </c>
      <c r="B34" s="16" t="s">
        <v>172</v>
      </c>
      <c r="C34" s="49">
        <v>0</v>
      </c>
      <c r="D34" s="59">
        <f t="shared" si="40"/>
        <v>0</v>
      </c>
      <c r="E34" s="49">
        <f>'Розшифр. факт'!D80-'Розшифр. факт'!D83-'Розшифр. факт'!D84</f>
        <v>6.137000000000001</v>
      </c>
      <c r="F34" s="49">
        <f>'Розшифр. факт'!E80-'Розшифр. факт'!E83-'Розшифр. факт'!E84</f>
        <v>7.316999999999999</v>
      </c>
      <c r="G34" s="49">
        <f>'Розшифр. факт'!F80-'Розшифр. факт'!F83-'Розшифр. факт'!F84</f>
        <v>8.004999999999999</v>
      </c>
      <c r="H34" s="49">
        <f>'Розшифр. факт'!G80-'Розшифр. факт'!G83-'Розшифр. факт'!G84</f>
        <v>7.107000000000001</v>
      </c>
      <c r="I34" s="49">
        <f>'Розшифр. факт'!H80-'Розшифр. факт'!H83-'Розшифр. факт'!H84</f>
        <v>0</v>
      </c>
      <c r="J34" s="49">
        <f>'Розшифр. факт'!I80-'Розшифр. факт'!I83-'Розшифр. факт'!I84</f>
        <v>0</v>
      </c>
      <c r="K34" s="49">
        <f>'Розшифр. факт'!J80-'Розшифр. факт'!J83-'Розшифр. факт'!J84</f>
        <v>0</v>
      </c>
      <c r="L34" s="49">
        <f>'Розшифр. факт'!K80-'Розшифр. факт'!K83-'Розшифр. факт'!K84</f>
        <v>0</v>
      </c>
      <c r="M34" s="49">
        <f>'Розшифр. факт'!L80-'Розшифр. факт'!L83-'Розшифр. факт'!L84</f>
        <v>0</v>
      </c>
      <c r="N34" s="49">
        <f>'Розшифр. факт'!M80-'Розшифр. факт'!M83-'Розшифр. факт'!M84</f>
        <v>0</v>
      </c>
      <c r="O34" s="49">
        <f>'Розшифр. факт'!N80-'Розшифр. факт'!N83-'Розшифр. факт'!N84</f>
        <v>0</v>
      </c>
      <c r="P34" s="49">
        <f>'Розшифр. факт'!O80-'Розшифр. факт'!O83-'Розшифр. факт'!O84</f>
        <v>0</v>
      </c>
      <c r="Q34" s="178">
        <f t="shared" si="22"/>
        <v>28.566000000000003</v>
      </c>
      <c r="R34" s="59">
        <f t="shared" si="2"/>
        <v>0</v>
      </c>
      <c r="S34" s="59">
        <f t="shared" si="3"/>
        <v>0</v>
      </c>
      <c r="T34" s="59">
        <f t="shared" si="4"/>
        <v>0</v>
      </c>
      <c r="U34" s="59">
        <f t="shared" si="5"/>
        <v>0</v>
      </c>
      <c r="V34" s="59">
        <f t="shared" si="6"/>
        <v>0</v>
      </c>
      <c r="W34" s="59">
        <f t="shared" si="7"/>
        <v>0</v>
      </c>
      <c r="X34" s="59">
        <f t="shared" si="23"/>
        <v>0</v>
      </c>
      <c r="Y34" s="59">
        <f t="shared" si="24"/>
        <v>0</v>
      </c>
      <c r="Z34" s="59">
        <f t="shared" si="25"/>
        <v>0</v>
      </c>
      <c r="AA34" s="59">
        <f t="shared" si="26"/>
        <v>0</v>
      </c>
      <c r="AB34" s="59">
        <f t="shared" si="27"/>
        <v>0</v>
      </c>
      <c r="AC34" s="59">
        <f t="shared" si="28"/>
        <v>0</v>
      </c>
      <c r="AD34" s="196">
        <f t="shared" si="29"/>
        <v>0</v>
      </c>
      <c r="AE34" s="171">
        <f t="shared" si="8"/>
        <v>-6.137000000000001</v>
      </c>
      <c r="AF34" s="171">
        <f t="shared" si="9"/>
        <v>-7.316999999999999</v>
      </c>
      <c r="AG34" s="171">
        <f t="shared" si="10"/>
        <v>-8.004999999999999</v>
      </c>
      <c r="AH34" s="171">
        <f t="shared" si="11"/>
        <v>-7.107000000000001</v>
      </c>
      <c r="AI34" s="171">
        <f t="shared" si="12"/>
        <v>0</v>
      </c>
      <c r="AJ34" s="171">
        <f t="shared" si="13"/>
        <v>0</v>
      </c>
      <c r="AK34" s="171">
        <f t="shared" si="14"/>
        <v>0</v>
      </c>
      <c r="AL34" s="171">
        <f t="shared" si="15"/>
        <v>0</v>
      </c>
      <c r="AM34" s="171">
        <f t="shared" si="16"/>
        <v>0</v>
      </c>
      <c r="AN34" s="171">
        <f t="shared" si="17"/>
        <v>0</v>
      </c>
      <c r="AO34" s="171">
        <f t="shared" si="18"/>
        <v>0</v>
      </c>
      <c r="AP34" s="171">
        <f t="shared" si="19"/>
        <v>0</v>
      </c>
      <c r="AQ34" s="56">
        <f t="shared" si="30"/>
        <v>-28.566000000000003</v>
      </c>
    </row>
    <row r="35" spans="1:43" s="61" customFormat="1" ht="18" customHeight="1">
      <c r="A35" s="55" t="s">
        <v>24</v>
      </c>
      <c r="B35" s="47" t="s">
        <v>35</v>
      </c>
      <c r="C35" s="56">
        <v>0</v>
      </c>
      <c r="D35" s="59">
        <f t="shared" si="40"/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178">
        <f t="shared" si="22"/>
        <v>0</v>
      </c>
      <c r="R35" s="59">
        <f t="shared" si="2"/>
        <v>0</v>
      </c>
      <c r="S35" s="59">
        <f t="shared" si="3"/>
        <v>0</v>
      </c>
      <c r="T35" s="59">
        <f t="shared" si="4"/>
        <v>0</v>
      </c>
      <c r="U35" s="59">
        <f t="shared" si="5"/>
        <v>0</v>
      </c>
      <c r="V35" s="59">
        <f t="shared" si="6"/>
        <v>0</v>
      </c>
      <c r="W35" s="59">
        <f t="shared" si="7"/>
        <v>0</v>
      </c>
      <c r="X35" s="59">
        <f t="shared" si="23"/>
        <v>0</v>
      </c>
      <c r="Y35" s="59">
        <f t="shared" si="24"/>
        <v>0</v>
      </c>
      <c r="Z35" s="59">
        <f t="shared" si="25"/>
        <v>0</v>
      </c>
      <c r="AA35" s="59">
        <f t="shared" si="26"/>
        <v>0</v>
      </c>
      <c r="AB35" s="59">
        <f t="shared" si="27"/>
        <v>0</v>
      </c>
      <c r="AC35" s="59">
        <f t="shared" si="28"/>
        <v>0</v>
      </c>
      <c r="AD35" s="196">
        <f t="shared" si="29"/>
        <v>0</v>
      </c>
      <c r="AE35" s="171">
        <f t="shared" si="8"/>
        <v>0</v>
      </c>
      <c r="AF35" s="171">
        <f t="shared" si="9"/>
        <v>0</v>
      </c>
      <c r="AG35" s="171">
        <f t="shared" si="10"/>
        <v>0</v>
      </c>
      <c r="AH35" s="171">
        <f t="shared" si="11"/>
        <v>0</v>
      </c>
      <c r="AI35" s="171">
        <f t="shared" si="12"/>
        <v>0</v>
      </c>
      <c r="AJ35" s="171">
        <f t="shared" si="13"/>
        <v>0</v>
      </c>
      <c r="AK35" s="171">
        <f t="shared" si="14"/>
        <v>0</v>
      </c>
      <c r="AL35" s="171">
        <f t="shared" si="15"/>
        <v>0</v>
      </c>
      <c r="AM35" s="171">
        <f t="shared" si="16"/>
        <v>0</v>
      </c>
      <c r="AN35" s="171">
        <f t="shared" si="17"/>
        <v>0</v>
      </c>
      <c r="AO35" s="171">
        <f t="shared" si="18"/>
        <v>0</v>
      </c>
      <c r="AP35" s="171">
        <f t="shared" si="19"/>
        <v>0</v>
      </c>
      <c r="AQ35" s="56">
        <f t="shared" si="30"/>
        <v>0</v>
      </c>
    </row>
    <row r="36" spans="1:43" s="61" customFormat="1" ht="18" customHeight="1">
      <c r="A36" s="55" t="s">
        <v>25</v>
      </c>
      <c r="B36" s="47" t="s">
        <v>36</v>
      </c>
      <c r="C36" s="56">
        <v>0</v>
      </c>
      <c r="D36" s="59">
        <f t="shared" si="40"/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178">
        <f t="shared" si="22"/>
        <v>0</v>
      </c>
      <c r="R36" s="59">
        <f t="shared" si="2"/>
        <v>0</v>
      </c>
      <c r="S36" s="59">
        <f t="shared" si="3"/>
        <v>0</v>
      </c>
      <c r="T36" s="59">
        <f t="shared" si="4"/>
        <v>0</v>
      </c>
      <c r="U36" s="59">
        <f t="shared" si="5"/>
        <v>0</v>
      </c>
      <c r="V36" s="59">
        <f t="shared" si="6"/>
        <v>0</v>
      </c>
      <c r="W36" s="59">
        <f t="shared" si="7"/>
        <v>0</v>
      </c>
      <c r="X36" s="59">
        <f t="shared" si="23"/>
        <v>0</v>
      </c>
      <c r="Y36" s="59">
        <f t="shared" si="24"/>
        <v>0</v>
      </c>
      <c r="Z36" s="59">
        <f t="shared" si="25"/>
        <v>0</v>
      </c>
      <c r="AA36" s="59">
        <f t="shared" si="26"/>
        <v>0</v>
      </c>
      <c r="AB36" s="59">
        <f t="shared" si="27"/>
        <v>0</v>
      </c>
      <c r="AC36" s="59">
        <f t="shared" si="28"/>
        <v>0</v>
      </c>
      <c r="AD36" s="196">
        <f t="shared" si="29"/>
        <v>0</v>
      </c>
      <c r="AE36" s="171">
        <f t="shared" si="8"/>
        <v>0</v>
      </c>
      <c r="AF36" s="171">
        <f t="shared" si="9"/>
        <v>0</v>
      </c>
      <c r="AG36" s="171">
        <f t="shared" si="10"/>
        <v>0</v>
      </c>
      <c r="AH36" s="171">
        <f t="shared" si="11"/>
        <v>0</v>
      </c>
      <c r="AI36" s="171">
        <f t="shared" si="12"/>
        <v>0</v>
      </c>
      <c r="AJ36" s="171">
        <f t="shared" si="13"/>
        <v>0</v>
      </c>
      <c r="AK36" s="171">
        <f t="shared" si="14"/>
        <v>0</v>
      </c>
      <c r="AL36" s="171">
        <f t="shared" si="15"/>
        <v>0</v>
      </c>
      <c r="AM36" s="171">
        <f t="shared" si="16"/>
        <v>0</v>
      </c>
      <c r="AN36" s="171">
        <f t="shared" si="17"/>
        <v>0</v>
      </c>
      <c r="AO36" s="171">
        <f t="shared" si="18"/>
        <v>0</v>
      </c>
      <c r="AP36" s="171">
        <f t="shared" si="19"/>
        <v>0</v>
      </c>
      <c r="AQ36" s="56">
        <f t="shared" si="30"/>
        <v>0</v>
      </c>
    </row>
    <row r="37" spans="1:43" s="153" customFormat="1" ht="18" customHeight="1">
      <c r="A37" s="174" t="s">
        <v>26</v>
      </c>
      <c r="B37" s="154" t="s">
        <v>177</v>
      </c>
      <c r="C37" s="155">
        <f>C36+C35+C30+C25+C9</f>
        <v>7766.673999999999</v>
      </c>
      <c r="D37" s="156">
        <f aca="true" t="shared" si="41" ref="D37:D43">C37/$C$46</f>
        <v>9.609841623360552</v>
      </c>
      <c r="E37" s="155">
        <f aca="true" t="shared" si="42" ref="E37:O37">E36+E35+E30+E25+E9</f>
        <v>661.469</v>
      </c>
      <c r="F37" s="155">
        <f t="shared" si="42"/>
        <v>573.616</v>
      </c>
      <c r="G37" s="155">
        <f t="shared" si="42"/>
        <v>629.419</v>
      </c>
      <c r="H37" s="155">
        <f t="shared" si="42"/>
        <v>607.6610000000001</v>
      </c>
      <c r="I37" s="155">
        <f t="shared" si="42"/>
        <v>645.5920000000002</v>
      </c>
      <c r="J37" s="155">
        <f t="shared" si="42"/>
        <v>591.3330000000001</v>
      </c>
      <c r="K37" s="155">
        <f t="shared" si="42"/>
        <v>650.118</v>
      </c>
      <c r="L37" s="155">
        <f t="shared" si="42"/>
        <v>604.7990000000001</v>
      </c>
      <c r="M37" s="155">
        <f t="shared" si="42"/>
        <v>653.966</v>
      </c>
      <c r="N37" s="155">
        <f t="shared" si="42"/>
        <v>702.2049999999999</v>
      </c>
      <c r="O37" s="155">
        <f t="shared" si="42"/>
        <v>767.728</v>
      </c>
      <c r="P37" s="155">
        <f>P36+P35+P30+P25+P9</f>
        <v>578.167</v>
      </c>
      <c r="Q37" s="178">
        <f t="shared" si="22"/>
        <v>7666.073000000001</v>
      </c>
      <c r="R37" s="177">
        <f t="shared" si="2"/>
        <v>457.24587428111846</v>
      </c>
      <c r="S37" s="177">
        <f t="shared" si="3"/>
        <v>517.1055777530313</v>
      </c>
      <c r="T37" s="177">
        <f t="shared" si="4"/>
        <v>553.584536555308</v>
      </c>
      <c r="U37" s="177">
        <f t="shared" si="5"/>
        <v>535.7390606607274</v>
      </c>
      <c r="V37" s="177">
        <f t="shared" si="6"/>
        <v>456.05425391982175</v>
      </c>
      <c r="W37" s="177">
        <f t="shared" si="7"/>
        <v>483.7594273199702</v>
      </c>
      <c r="X37" s="180">
        <f t="shared" si="23"/>
        <v>438.65083073991576</v>
      </c>
      <c r="Y37" s="180">
        <f t="shared" si="24"/>
        <v>554.8049864414747</v>
      </c>
      <c r="Z37" s="180">
        <f t="shared" si="25"/>
        <v>575.0240932170253</v>
      </c>
      <c r="AA37" s="180">
        <f t="shared" si="26"/>
        <v>554.7665470749813</v>
      </c>
      <c r="AB37" s="180">
        <f t="shared" si="27"/>
        <v>494.63776803761436</v>
      </c>
      <c r="AC37" s="180">
        <f t="shared" si="28"/>
        <v>516.2118624820588</v>
      </c>
      <c r="AD37" s="196">
        <f t="shared" si="29"/>
        <v>6137.5848184830475</v>
      </c>
      <c r="AE37" s="208">
        <f t="shared" si="8"/>
        <v>-204.2231257188816</v>
      </c>
      <c r="AF37" s="208">
        <f t="shared" si="9"/>
        <v>-56.51042224696869</v>
      </c>
      <c r="AG37" s="208">
        <f t="shared" si="10"/>
        <v>-75.834463444692</v>
      </c>
      <c r="AH37" s="208">
        <f t="shared" si="11"/>
        <v>-71.92193933927263</v>
      </c>
      <c r="AI37" s="208">
        <f t="shared" si="12"/>
        <v>-189.53774608017847</v>
      </c>
      <c r="AJ37" s="208">
        <f t="shared" si="13"/>
        <v>-107.57357268002988</v>
      </c>
      <c r="AK37" s="208">
        <f t="shared" si="14"/>
        <v>-211.4671692600843</v>
      </c>
      <c r="AL37" s="208">
        <f t="shared" si="15"/>
        <v>-49.99401355852535</v>
      </c>
      <c r="AM37" s="208">
        <f t="shared" si="16"/>
        <v>-78.94190678297468</v>
      </c>
      <c r="AN37" s="208">
        <f t="shared" si="17"/>
        <v>-147.43845292501862</v>
      </c>
      <c r="AO37" s="208">
        <f t="shared" si="18"/>
        <v>-273.0902319623856</v>
      </c>
      <c r="AP37" s="208">
        <f t="shared" si="19"/>
        <v>-61.95513751794124</v>
      </c>
      <c r="AQ37" s="56">
        <f t="shared" si="30"/>
        <v>-1528.4881815169533</v>
      </c>
    </row>
    <row r="38" spans="1:43" s="61" customFormat="1" ht="18" customHeight="1">
      <c r="A38" s="53" t="s">
        <v>6</v>
      </c>
      <c r="B38" s="48" t="s">
        <v>178</v>
      </c>
      <c r="C38" s="54">
        <f>C44-C37</f>
        <v>0</v>
      </c>
      <c r="D38" s="62">
        <f t="shared" si="41"/>
        <v>0</v>
      </c>
      <c r="E38" s="54">
        <f aca="true" t="shared" si="43" ref="E38:J38">E44-E37</f>
        <v>0</v>
      </c>
      <c r="F38" s="54">
        <f t="shared" si="43"/>
        <v>0</v>
      </c>
      <c r="G38" s="54">
        <f t="shared" si="43"/>
        <v>0</v>
      </c>
      <c r="H38" s="54">
        <f t="shared" si="43"/>
        <v>0</v>
      </c>
      <c r="I38" s="54">
        <f t="shared" si="43"/>
        <v>0</v>
      </c>
      <c r="J38" s="54">
        <f t="shared" si="43"/>
        <v>0</v>
      </c>
      <c r="K38" s="54">
        <f aca="true" t="shared" si="44" ref="K38:P38">K44-K37</f>
        <v>0</v>
      </c>
      <c r="L38" s="54">
        <f t="shared" si="44"/>
        <v>0</v>
      </c>
      <c r="M38" s="54">
        <f t="shared" si="44"/>
        <v>0</v>
      </c>
      <c r="N38" s="54">
        <f t="shared" si="44"/>
        <v>0</v>
      </c>
      <c r="O38" s="54">
        <f t="shared" si="44"/>
        <v>0</v>
      </c>
      <c r="P38" s="54">
        <f t="shared" si="44"/>
        <v>0</v>
      </c>
      <c r="Q38" s="178">
        <f aca="true" t="shared" si="45" ref="Q38:Q43">SUM(E38:M38)</f>
        <v>0</v>
      </c>
      <c r="R38" s="62">
        <f aca="true" t="shared" si="46" ref="R38:U43">E38/$C$46</f>
        <v>0</v>
      </c>
      <c r="S38" s="62">
        <f t="shared" si="46"/>
        <v>0</v>
      </c>
      <c r="T38" s="62">
        <f t="shared" si="46"/>
        <v>0</v>
      </c>
      <c r="U38" s="62">
        <f t="shared" si="46"/>
        <v>0</v>
      </c>
      <c r="V38" s="62">
        <f aca="true" t="shared" si="47" ref="V38:V43">I38*$C$46</f>
        <v>0</v>
      </c>
      <c r="W38" s="62">
        <f aca="true" t="shared" si="48" ref="W38:W43">J38*$C$46</f>
        <v>0</v>
      </c>
      <c r="X38" s="62">
        <f aca="true" t="shared" si="49" ref="X38:AB43">J38*$C$46</f>
        <v>0</v>
      </c>
      <c r="Y38" s="62">
        <f t="shared" si="49"/>
        <v>0</v>
      </c>
      <c r="Z38" s="62">
        <f t="shared" si="49"/>
        <v>0</v>
      </c>
      <c r="AA38" s="62">
        <f t="shared" si="49"/>
        <v>0</v>
      </c>
      <c r="AB38" s="62">
        <f t="shared" si="49"/>
        <v>0</v>
      </c>
      <c r="AC38" s="62">
        <v>0</v>
      </c>
      <c r="AD38" s="181">
        <f aca="true" t="shared" si="50" ref="AD38:AD43">M38*$C$46</f>
        <v>0</v>
      </c>
      <c r="AQ38" s="173"/>
    </row>
    <row r="39" spans="1:43" ht="18" customHeight="1">
      <c r="A39" s="11" t="s">
        <v>27</v>
      </c>
      <c r="B39" s="12" t="s">
        <v>37</v>
      </c>
      <c r="C39" s="50">
        <v>0</v>
      </c>
      <c r="D39" s="60">
        <f t="shared" si="41"/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178">
        <f t="shared" si="45"/>
        <v>0</v>
      </c>
      <c r="R39" s="60">
        <f t="shared" si="46"/>
        <v>0</v>
      </c>
      <c r="S39" s="60">
        <f t="shared" si="46"/>
        <v>0</v>
      </c>
      <c r="T39" s="60">
        <f t="shared" si="46"/>
        <v>0</v>
      </c>
      <c r="U39" s="60">
        <f t="shared" si="46"/>
        <v>0</v>
      </c>
      <c r="V39" s="62">
        <f t="shared" si="47"/>
        <v>0</v>
      </c>
      <c r="W39" s="62">
        <f t="shared" si="48"/>
        <v>0</v>
      </c>
      <c r="X39" s="62">
        <f t="shared" si="49"/>
        <v>0</v>
      </c>
      <c r="Y39" s="62">
        <f t="shared" si="49"/>
        <v>0</v>
      </c>
      <c r="Z39" s="62">
        <f t="shared" si="49"/>
        <v>0</v>
      </c>
      <c r="AA39" s="62">
        <f t="shared" si="49"/>
        <v>0</v>
      </c>
      <c r="AB39" s="62">
        <f t="shared" si="49"/>
        <v>0</v>
      </c>
      <c r="AC39" s="62">
        <v>0</v>
      </c>
      <c r="AD39" s="181">
        <f t="shared" si="50"/>
        <v>0</v>
      </c>
      <c r="AQ39" s="187"/>
    </row>
    <row r="40" spans="1:43" ht="18" customHeight="1">
      <c r="A40" s="13" t="s">
        <v>28</v>
      </c>
      <c r="B40" s="12" t="s">
        <v>38</v>
      </c>
      <c r="C40" s="51">
        <v>0</v>
      </c>
      <c r="D40" s="60">
        <f t="shared" si="41"/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178">
        <f t="shared" si="45"/>
        <v>0</v>
      </c>
      <c r="R40" s="60">
        <f t="shared" si="46"/>
        <v>0</v>
      </c>
      <c r="S40" s="60">
        <f t="shared" si="46"/>
        <v>0</v>
      </c>
      <c r="T40" s="60">
        <f t="shared" si="46"/>
        <v>0</v>
      </c>
      <c r="U40" s="60">
        <f t="shared" si="46"/>
        <v>0</v>
      </c>
      <c r="V40" s="62">
        <f t="shared" si="47"/>
        <v>0</v>
      </c>
      <c r="W40" s="62">
        <f t="shared" si="48"/>
        <v>0</v>
      </c>
      <c r="X40" s="62">
        <f t="shared" si="49"/>
        <v>0</v>
      </c>
      <c r="Y40" s="62">
        <f t="shared" si="49"/>
        <v>0</v>
      </c>
      <c r="Z40" s="62">
        <f t="shared" si="49"/>
        <v>0</v>
      </c>
      <c r="AA40" s="62">
        <f t="shared" si="49"/>
        <v>0</v>
      </c>
      <c r="AB40" s="62">
        <f t="shared" si="49"/>
        <v>0</v>
      </c>
      <c r="AC40" s="62">
        <v>0</v>
      </c>
      <c r="AD40" s="181">
        <f t="shared" si="50"/>
        <v>0</v>
      </c>
      <c r="AQ40" s="187"/>
    </row>
    <row r="41" spans="1:43" ht="18" customHeight="1">
      <c r="A41" s="13" t="s">
        <v>187</v>
      </c>
      <c r="B41" s="12" t="s">
        <v>39</v>
      </c>
      <c r="C41" s="51">
        <v>0</v>
      </c>
      <c r="D41" s="60">
        <f t="shared" si="41"/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178">
        <f t="shared" si="45"/>
        <v>0</v>
      </c>
      <c r="R41" s="60">
        <f t="shared" si="46"/>
        <v>0</v>
      </c>
      <c r="S41" s="60">
        <f t="shared" si="46"/>
        <v>0</v>
      </c>
      <c r="T41" s="60">
        <f t="shared" si="46"/>
        <v>0</v>
      </c>
      <c r="U41" s="60">
        <f t="shared" si="46"/>
        <v>0</v>
      </c>
      <c r="V41" s="62">
        <f t="shared" si="47"/>
        <v>0</v>
      </c>
      <c r="W41" s="62">
        <f t="shared" si="48"/>
        <v>0</v>
      </c>
      <c r="X41" s="62">
        <f t="shared" si="49"/>
        <v>0</v>
      </c>
      <c r="Y41" s="62">
        <f t="shared" si="49"/>
        <v>0</v>
      </c>
      <c r="Z41" s="62">
        <f t="shared" si="49"/>
        <v>0</v>
      </c>
      <c r="AA41" s="62">
        <f t="shared" si="49"/>
        <v>0</v>
      </c>
      <c r="AB41" s="62">
        <f t="shared" si="49"/>
        <v>0</v>
      </c>
      <c r="AC41" s="62">
        <v>0</v>
      </c>
      <c r="AD41" s="181">
        <f t="shared" si="50"/>
        <v>0</v>
      </c>
      <c r="AQ41" s="187"/>
    </row>
    <row r="42" spans="1:43" ht="18" customHeight="1">
      <c r="A42" s="13" t="s">
        <v>188</v>
      </c>
      <c r="B42" s="12" t="s">
        <v>40</v>
      </c>
      <c r="C42" s="51">
        <v>0</v>
      </c>
      <c r="D42" s="60">
        <f t="shared" si="41"/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178">
        <f t="shared" si="45"/>
        <v>0</v>
      </c>
      <c r="R42" s="60">
        <f t="shared" si="46"/>
        <v>0</v>
      </c>
      <c r="S42" s="60">
        <f t="shared" si="46"/>
        <v>0</v>
      </c>
      <c r="T42" s="60">
        <f t="shared" si="46"/>
        <v>0</v>
      </c>
      <c r="U42" s="60">
        <f t="shared" si="46"/>
        <v>0</v>
      </c>
      <c r="V42" s="62">
        <f t="shared" si="47"/>
        <v>0</v>
      </c>
      <c r="W42" s="62">
        <f t="shared" si="48"/>
        <v>0</v>
      </c>
      <c r="X42" s="62">
        <f t="shared" si="49"/>
        <v>0</v>
      </c>
      <c r="Y42" s="62">
        <f t="shared" si="49"/>
        <v>0</v>
      </c>
      <c r="Z42" s="62">
        <f t="shared" si="49"/>
        <v>0</v>
      </c>
      <c r="AA42" s="62">
        <f t="shared" si="49"/>
        <v>0</v>
      </c>
      <c r="AB42" s="62">
        <f t="shared" si="49"/>
        <v>0</v>
      </c>
      <c r="AC42" s="62">
        <v>0</v>
      </c>
      <c r="AD42" s="181">
        <f t="shared" si="50"/>
        <v>0</v>
      </c>
      <c r="AQ42" s="187"/>
    </row>
    <row r="43" spans="1:43" ht="18" customHeight="1">
      <c r="A43" s="13" t="s">
        <v>189</v>
      </c>
      <c r="B43" s="12" t="s">
        <v>41</v>
      </c>
      <c r="C43" s="51">
        <v>0</v>
      </c>
      <c r="D43" s="60">
        <f t="shared" si="41"/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213">
        <f t="shared" si="45"/>
        <v>0</v>
      </c>
      <c r="R43" s="185">
        <f t="shared" si="46"/>
        <v>0</v>
      </c>
      <c r="S43" s="185">
        <f t="shared" si="46"/>
        <v>0</v>
      </c>
      <c r="T43" s="185">
        <f t="shared" si="46"/>
        <v>0</v>
      </c>
      <c r="U43" s="185">
        <f t="shared" si="46"/>
        <v>0</v>
      </c>
      <c r="V43" s="186">
        <f t="shared" si="47"/>
        <v>0</v>
      </c>
      <c r="W43" s="186">
        <f t="shared" si="48"/>
        <v>0</v>
      </c>
      <c r="X43" s="186">
        <f t="shared" si="49"/>
        <v>0</v>
      </c>
      <c r="Y43" s="186">
        <f t="shared" si="49"/>
        <v>0</v>
      </c>
      <c r="Z43" s="186">
        <f t="shared" si="49"/>
        <v>0</v>
      </c>
      <c r="AA43" s="186">
        <f t="shared" si="49"/>
        <v>0</v>
      </c>
      <c r="AB43" s="186">
        <f t="shared" si="49"/>
        <v>0</v>
      </c>
      <c r="AC43" s="186">
        <v>0</v>
      </c>
      <c r="AD43" s="217">
        <f t="shared" si="50"/>
        <v>0</v>
      </c>
      <c r="AQ43" s="187"/>
    </row>
    <row r="44" spans="1:43" ht="27" customHeight="1">
      <c r="A44" s="53" t="s">
        <v>7</v>
      </c>
      <c r="B44" s="48" t="s">
        <v>179</v>
      </c>
      <c r="C44" s="258">
        <f>C37</f>
        <v>7766.673999999999</v>
      </c>
      <c r="D44" s="259"/>
      <c r="E44" s="85">
        <f aca="true" t="shared" si="51" ref="E44:U44">E37</f>
        <v>661.469</v>
      </c>
      <c r="F44" s="56">
        <f t="shared" si="51"/>
        <v>573.616</v>
      </c>
      <c r="G44" s="56">
        <f t="shared" si="51"/>
        <v>629.419</v>
      </c>
      <c r="H44" s="56">
        <f t="shared" si="51"/>
        <v>607.6610000000001</v>
      </c>
      <c r="I44" s="56">
        <f aca="true" t="shared" si="52" ref="I44:Q44">I37</f>
        <v>645.5920000000002</v>
      </c>
      <c r="J44" s="56">
        <f t="shared" si="52"/>
        <v>591.3330000000001</v>
      </c>
      <c r="K44" s="56">
        <f t="shared" si="52"/>
        <v>650.118</v>
      </c>
      <c r="L44" s="56">
        <f t="shared" si="52"/>
        <v>604.7990000000001</v>
      </c>
      <c r="M44" s="56">
        <f t="shared" si="52"/>
        <v>653.966</v>
      </c>
      <c r="N44" s="56">
        <f>N37</f>
        <v>702.2049999999999</v>
      </c>
      <c r="O44" s="56">
        <f>O37</f>
        <v>767.728</v>
      </c>
      <c r="P44" s="56">
        <f>P37</f>
        <v>578.167</v>
      </c>
      <c r="Q44" s="178">
        <f t="shared" si="52"/>
        <v>7666.073000000001</v>
      </c>
      <c r="R44" s="56">
        <f t="shared" si="51"/>
        <v>457.24587428111846</v>
      </c>
      <c r="S44" s="56">
        <f t="shared" si="51"/>
        <v>517.1055777530313</v>
      </c>
      <c r="T44" s="56">
        <f t="shared" si="51"/>
        <v>553.584536555308</v>
      </c>
      <c r="U44" s="56">
        <f t="shared" si="51"/>
        <v>535.7390606607274</v>
      </c>
      <c r="V44" s="56">
        <f aca="true" t="shared" si="53" ref="V44:AD44">V37</f>
        <v>456.05425391982175</v>
      </c>
      <c r="W44" s="56">
        <f t="shared" si="53"/>
        <v>483.7594273199702</v>
      </c>
      <c r="X44" s="56">
        <f t="shared" si="53"/>
        <v>438.65083073991576</v>
      </c>
      <c r="Y44" s="56">
        <f t="shared" si="53"/>
        <v>554.8049864414747</v>
      </c>
      <c r="Z44" s="56">
        <f t="shared" si="53"/>
        <v>575.0240932170253</v>
      </c>
      <c r="AA44" s="56">
        <f>AA37</f>
        <v>554.7665470749813</v>
      </c>
      <c r="AB44" s="56">
        <f>AB37</f>
        <v>494.63776803761436</v>
      </c>
      <c r="AC44" s="56">
        <f>AC37</f>
        <v>516.2118624820588</v>
      </c>
      <c r="AD44" s="196">
        <f t="shared" si="53"/>
        <v>6137.5848184830475</v>
      </c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54">
        <f>AD44-Q44</f>
        <v>-1528.4881815169538</v>
      </c>
    </row>
    <row r="45" spans="1:43" ht="18" customHeight="1">
      <c r="A45" s="53" t="s">
        <v>8</v>
      </c>
      <c r="B45" s="48" t="s">
        <v>180</v>
      </c>
      <c r="C45" s="260">
        <f>C44/C46</f>
        <v>9.609841623360552</v>
      </c>
      <c r="D45" s="261"/>
      <c r="E45" s="86">
        <f aca="true" t="shared" si="54" ref="E45:U45">E44/E46</f>
        <v>13.901956663374037</v>
      </c>
      <c r="F45" s="92">
        <f t="shared" si="54"/>
        <v>10.660026017468871</v>
      </c>
      <c r="G45" s="92">
        <f t="shared" si="54"/>
        <v>10.92627504079436</v>
      </c>
      <c r="H45" s="92">
        <f t="shared" si="54"/>
        <v>10.89994439362141</v>
      </c>
      <c r="I45" s="92">
        <f aca="true" t="shared" si="55" ref="I45:Q45">I44/I46</f>
        <v>13.60372547780096</v>
      </c>
      <c r="J45" s="92">
        <f t="shared" si="55"/>
        <v>11.746781883194279</v>
      </c>
      <c r="K45" s="92">
        <f t="shared" si="55"/>
        <v>14.242606142925997</v>
      </c>
      <c r="L45" s="92">
        <f t="shared" si="55"/>
        <v>10.475793740148617</v>
      </c>
      <c r="M45" s="92">
        <f t="shared" si="55"/>
        <v>10.929124120527433</v>
      </c>
      <c r="N45" s="92">
        <f>N44/N46</f>
        <v>12.163817145628713</v>
      </c>
      <c r="O45" s="92">
        <f>O44/O46</f>
        <v>14.915449176251164</v>
      </c>
      <c r="P45" s="92">
        <f>P44/P46</f>
        <v>10.763203455144554</v>
      </c>
      <c r="Q45" s="214">
        <f t="shared" si="55"/>
        <v>12.003051620772316</v>
      </c>
      <c r="R45" s="92">
        <f t="shared" si="54"/>
        <v>9.609841623360552</v>
      </c>
      <c r="S45" s="92">
        <f t="shared" si="54"/>
        <v>9.609841623360552</v>
      </c>
      <c r="T45" s="92">
        <f t="shared" si="54"/>
        <v>9.609841623360552</v>
      </c>
      <c r="U45" s="92">
        <f t="shared" si="54"/>
        <v>9.609841623360552</v>
      </c>
      <c r="V45" s="92">
        <f aca="true" t="shared" si="56" ref="V45:AD45">V44/V46</f>
        <v>9.609841623360552</v>
      </c>
      <c r="W45" s="92">
        <f t="shared" si="56"/>
        <v>9.609841623360552</v>
      </c>
      <c r="X45" s="92">
        <f t="shared" si="56"/>
        <v>9.609841623360552</v>
      </c>
      <c r="Y45" s="92">
        <f t="shared" si="56"/>
        <v>9.609841623360552</v>
      </c>
      <c r="Z45" s="92">
        <f t="shared" si="56"/>
        <v>9.609841623360552</v>
      </c>
      <c r="AA45" s="92">
        <f>AA44/AA46</f>
        <v>9.609841623360552</v>
      </c>
      <c r="AB45" s="92">
        <f>AB44/AB46</f>
        <v>9.609841623360552</v>
      </c>
      <c r="AC45" s="92">
        <f>AC44/AC46</f>
        <v>9.609841623360552</v>
      </c>
      <c r="AD45" s="218">
        <f t="shared" si="56"/>
        <v>9.609841623360552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189">
        <f>AD45-Q45</f>
        <v>-2.3932099974117644</v>
      </c>
    </row>
    <row r="46" spans="1:43" s="17" customFormat="1" ht="18" customHeight="1">
      <c r="A46" s="55" t="s">
        <v>9</v>
      </c>
      <c r="B46" s="47" t="s">
        <v>181</v>
      </c>
      <c r="C46" s="258">
        <f>SUM(C47:C50)</f>
        <v>808.2</v>
      </c>
      <c r="D46" s="259"/>
      <c r="E46" s="85">
        <f>'Розшифр. факт'!D87</f>
        <v>47.581</v>
      </c>
      <c r="F46" s="56">
        <f>'Розшифр. факт'!E87</f>
        <v>53.81</v>
      </c>
      <c r="G46" s="56">
        <f>'Розшифр. факт'!F87</f>
        <v>57.606</v>
      </c>
      <c r="H46" s="56">
        <f>'Розшифр. факт'!G87</f>
        <v>55.749</v>
      </c>
      <c r="I46" s="56">
        <f>'Розшифр. факт'!H87</f>
        <v>47.457</v>
      </c>
      <c r="J46" s="56">
        <f>'Розшифр. факт'!I87</f>
        <v>50.34</v>
      </c>
      <c r="K46" s="56">
        <v>45.646</v>
      </c>
      <c r="L46" s="56">
        <v>57.733</v>
      </c>
      <c r="M46" s="56">
        <v>59.837</v>
      </c>
      <c r="N46" s="56">
        <v>57.729</v>
      </c>
      <c r="O46" s="56">
        <v>51.472</v>
      </c>
      <c r="P46" s="56">
        <v>53.717</v>
      </c>
      <c r="Q46" s="178">
        <f>SUM(E46:P46)</f>
        <v>638.677</v>
      </c>
      <c r="R46" s="56">
        <f aca="true" t="shared" si="57" ref="R46:AB46">E46</f>
        <v>47.581</v>
      </c>
      <c r="S46" s="56">
        <f t="shared" si="57"/>
        <v>53.81</v>
      </c>
      <c r="T46" s="56">
        <f t="shared" si="57"/>
        <v>57.606</v>
      </c>
      <c r="U46" s="56">
        <f t="shared" si="57"/>
        <v>55.749</v>
      </c>
      <c r="V46" s="56">
        <f t="shared" si="57"/>
        <v>47.457</v>
      </c>
      <c r="W46" s="56">
        <f t="shared" si="57"/>
        <v>50.34</v>
      </c>
      <c r="X46" s="56">
        <f t="shared" si="57"/>
        <v>45.646</v>
      </c>
      <c r="Y46" s="56">
        <f t="shared" si="57"/>
        <v>57.733</v>
      </c>
      <c r="Z46" s="56">
        <f t="shared" si="57"/>
        <v>59.837</v>
      </c>
      <c r="AA46" s="56">
        <f t="shared" si="57"/>
        <v>57.729</v>
      </c>
      <c r="AB46" s="56">
        <f t="shared" si="57"/>
        <v>51.472</v>
      </c>
      <c r="AC46" s="56">
        <v>53.717</v>
      </c>
      <c r="AD46" s="196">
        <f>Q46</f>
        <v>638.677</v>
      </c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1"/>
    </row>
    <row r="47" spans="1:4" ht="18" customHeight="1" hidden="1" outlineLevel="1">
      <c r="A47" s="13" t="s">
        <v>10</v>
      </c>
      <c r="B47" s="93" t="s">
        <v>182</v>
      </c>
      <c r="C47" s="250">
        <v>0</v>
      </c>
      <c r="D47" s="251"/>
    </row>
    <row r="48" spans="1:4" ht="18" customHeight="1" hidden="1" outlineLevel="1">
      <c r="A48" s="13" t="s">
        <v>55</v>
      </c>
      <c r="B48" s="93" t="s">
        <v>183</v>
      </c>
      <c r="C48" s="250">
        <v>0</v>
      </c>
      <c r="D48" s="251"/>
    </row>
    <row r="49" spans="1:4" ht="18" customHeight="1" hidden="1" outlineLevel="1">
      <c r="A49" s="13" t="s">
        <v>56</v>
      </c>
      <c r="B49" s="93" t="s">
        <v>185</v>
      </c>
      <c r="C49" s="250">
        <v>367.4</v>
      </c>
      <c r="D49" s="251"/>
    </row>
    <row r="50" spans="1:4" ht="18" customHeight="1" hidden="1" outlineLevel="1">
      <c r="A50" s="13" t="s">
        <v>57</v>
      </c>
      <c r="B50" s="93" t="s">
        <v>184</v>
      </c>
      <c r="C50" s="250">
        <v>440.8</v>
      </c>
      <c r="D50" s="251"/>
    </row>
    <row r="51" ht="12.75" collapsed="1"/>
    <row r="52" spans="8:17" ht="12.75">
      <c r="H52" s="130" t="s">
        <v>257</v>
      </c>
      <c r="I52" s="129">
        <f>I15+I17+I21+I22+I26+I27</f>
        <v>300.87600000000003</v>
      </c>
      <c r="J52" s="129">
        <f>J15+J17+J21+J22+J26+J27</f>
        <v>276.114</v>
      </c>
      <c r="K52" s="129">
        <f>K15+K17+K21+K22+K26+K27</f>
        <v>293.293</v>
      </c>
      <c r="L52" s="129">
        <f>L15+L17+L21+L22+L26+L27</f>
        <v>291.533</v>
      </c>
      <c r="M52" s="129"/>
      <c r="N52" s="129"/>
      <c r="O52" s="129"/>
      <c r="P52" s="129"/>
      <c r="Q52" s="129"/>
    </row>
    <row r="53" spans="8:17" ht="12.75">
      <c r="H53" s="130" t="s">
        <v>258</v>
      </c>
      <c r="I53" s="129">
        <f>I11</f>
        <v>235.255</v>
      </c>
      <c r="J53" s="129">
        <f>J11</f>
        <v>183.847</v>
      </c>
      <c r="K53" s="129">
        <f>K11</f>
        <v>230.819</v>
      </c>
      <c r="L53" s="129">
        <f>L11</f>
        <v>194.961</v>
      </c>
      <c r="M53" s="129"/>
      <c r="N53" s="129"/>
      <c r="O53" s="129"/>
      <c r="P53" s="129"/>
      <c r="Q53" s="129"/>
    </row>
    <row r="54" ht="12.75">
      <c r="B54" s="14"/>
    </row>
    <row r="55" spans="2:4" ht="15">
      <c r="B55" s="6"/>
      <c r="C55" s="249" t="s">
        <v>14</v>
      </c>
      <c r="D55" s="249"/>
    </row>
    <row r="56" spans="2:4" ht="12.75">
      <c r="B56" s="6"/>
      <c r="C56" s="257" t="s">
        <v>43</v>
      </c>
      <c r="D56" s="257"/>
    </row>
    <row r="57" ht="12.75">
      <c r="B57" s="6"/>
    </row>
  </sheetData>
  <sheetProtection/>
  <mergeCells count="52">
    <mergeCell ref="H5:H6"/>
    <mergeCell ref="AC5:AC6"/>
    <mergeCell ref="AG5:AG6"/>
    <mergeCell ref="AH5:AH6"/>
    <mergeCell ref="AF5:AF6"/>
    <mergeCell ref="C56:D56"/>
    <mergeCell ref="C49:D49"/>
    <mergeCell ref="T5:T6"/>
    <mergeCell ref="I5:I6"/>
    <mergeCell ref="C50:D50"/>
    <mergeCell ref="AQ5:AQ6"/>
    <mergeCell ref="AK5:AK6"/>
    <mergeCell ref="C47:D47"/>
    <mergeCell ref="N5:N6"/>
    <mergeCell ref="U5:U6"/>
    <mergeCell ref="C45:D45"/>
    <mergeCell ref="C46:D46"/>
    <mergeCell ref="C44:D44"/>
    <mergeCell ref="Q5:Q6"/>
    <mergeCell ref="M5:M6"/>
    <mergeCell ref="A2:D2"/>
    <mergeCell ref="E5:E6"/>
    <mergeCell ref="F5:F6"/>
    <mergeCell ref="B5:B7"/>
    <mergeCell ref="A5:A7"/>
    <mergeCell ref="G5:G6"/>
    <mergeCell ref="AP5:AP6"/>
    <mergeCell ref="AO5:AO6"/>
    <mergeCell ref="AN5:AN6"/>
    <mergeCell ref="AM5:AM6"/>
    <mergeCell ref="AJ5:AJ6"/>
    <mergeCell ref="V5:V6"/>
    <mergeCell ref="Y5:Y6"/>
    <mergeCell ref="AI5:AI6"/>
    <mergeCell ref="X5:X6"/>
    <mergeCell ref="W5:W6"/>
    <mergeCell ref="AE5:AE6"/>
    <mergeCell ref="AL5:AL6"/>
    <mergeCell ref="AB5:AB6"/>
    <mergeCell ref="Z5:Z6"/>
    <mergeCell ref="AD5:AD6"/>
    <mergeCell ref="AA5:AA6"/>
    <mergeCell ref="C55:D55"/>
    <mergeCell ref="L5:L6"/>
    <mergeCell ref="J5:J6"/>
    <mergeCell ref="P5:P6"/>
    <mergeCell ref="C48:D48"/>
    <mergeCell ref="S5:S6"/>
    <mergeCell ref="R5:R6"/>
    <mergeCell ref="K5:K6"/>
    <mergeCell ref="O5:O6"/>
    <mergeCell ref="C5:D6"/>
  </mergeCells>
  <printOptions/>
  <pageMargins left="0" right="0" top="1.1811023622047245" bottom="0" header="0" footer="0"/>
  <pageSetup blackAndWhite="1" horizontalDpi="600" verticalDpi="600" orientation="portrait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="79" zoomScaleNormal="79" workbookViewId="0" topLeftCell="B61">
      <pane xSplit="1" topLeftCell="C1" activePane="topRight" state="frozen"/>
      <selection pane="topLeft" activeCell="B1" sqref="B1"/>
      <selection pane="topRight" activeCell="F72" sqref="F72"/>
    </sheetView>
  </sheetViews>
  <sheetFormatPr defaultColWidth="9.140625" defaultRowHeight="12.75" outlineLevelCol="1"/>
  <cols>
    <col min="1" max="1" width="10.140625" style="2" bestFit="1" customWidth="1"/>
    <col min="2" max="2" width="54.140625" style="4" customWidth="1"/>
    <col min="3" max="3" width="13.57421875" style="122" customWidth="1" outlineLevel="1"/>
    <col min="4" max="4" width="13.00390625" style="72" customWidth="1" outlineLevel="1" collapsed="1"/>
    <col min="5" max="5" width="13.7109375" style="72" customWidth="1" outlineLevel="1"/>
    <col min="6" max="6" width="14.28125" style="72" customWidth="1" outlineLevel="1"/>
    <col min="7" max="7" width="13.421875" style="72" customWidth="1" outlineLevel="1"/>
    <col min="8" max="8" width="13.00390625" style="72" customWidth="1" outlineLevel="1"/>
    <col min="9" max="9" width="13.28125" style="0" customWidth="1" outlineLevel="1"/>
    <col min="10" max="10" width="13.57421875" style="0" customWidth="1" outlineLevel="1"/>
    <col min="11" max="11" width="13.7109375" style="0" customWidth="1" outlineLevel="1"/>
    <col min="12" max="12" width="13.140625" style="0" customWidth="1" outlineLevel="1"/>
    <col min="13" max="15" width="13.00390625" style="0" customWidth="1" outlineLevel="1"/>
    <col min="16" max="16" width="13.7109375" style="0" customWidth="1"/>
  </cols>
  <sheetData>
    <row r="1" spans="1:16" ht="74.25" customHeight="1">
      <c r="A1" s="94" t="s">
        <v>0</v>
      </c>
      <c r="B1" s="95" t="s">
        <v>236</v>
      </c>
      <c r="C1" s="108" t="s">
        <v>45</v>
      </c>
      <c r="D1" s="97" t="s">
        <v>216</v>
      </c>
      <c r="E1" s="97" t="s">
        <v>223</v>
      </c>
      <c r="F1" s="97" t="s">
        <v>228</v>
      </c>
      <c r="G1" s="97" t="s">
        <v>229</v>
      </c>
      <c r="H1" s="97" t="s">
        <v>243</v>
      </c>
      <c r="I1" s="97" t="s">
        <v>248</v>
      </c>
      <c r="J1" s="97" t="s">
        <v>251</v>
      </c>
      <c r="K1" s="97" t="s">
        <v>253</v>
      </c>
      <c r="L1" s="97" t="s">
        <v>259</v>
      </c>
      <c r="M1" s="97" t="s">
        <v>262</v>
      </c>
      <c r="N1" s="97" t="s">
        <v>265</v>
      </c>
      <c r="O1" s="97" t="s">
        <v>268</v>
      </c>
      <c r="P1" s="165" t="s">
        <v>269</v>
      </c>
    </row>
    <row r="2" spans="1:16" ht="12.75">
      <c r="A2" s="98" t="s">
        <v>16</v>
      </c>
      <c r="B2" s="99">
        <v>1</v>
      </c>
      <c r="C2" s="109">
        <v>3</v>
      </c>
      <c r="D2" s="100">
        <v>1</v>
      </c>
      <c r="E2" s="100">
        <v>2</v>
      </c>
      <c r="F2" s="100">
        <v>3</v>
      </c>
      <c r="G2" s="100">
        <v>4</v>
      </c>
      <c r="H2" s="100">
        <v>5</v>
      </c>
      <c r="I2" s="100">
        <v>6</v>
      </c>
      <c r="J2" s="100">
        <v>7</v>
      </c>
      <c r="K2" s="100">
        <v>8</v>
      </c>
      <c r="L2" s="100">
        <v>9</v>
      </c>
      <c r="M2" s="100">
        <v>10</v>
      </c>
      <c r="N2" s="100">
        <v>11</v>
      </c>
      <c r="O2" s="100">
        <v>12</v>
      </c>
      <c r="P2" s="166"/>
    </row>
    <row r="3" spans="1:16" ht="25.5">
      <c r="A3" s="67"/>
      <c r="B3" s="75" t="s">
        <v>209</v>
      </c>
      <c r="C3" s="110">
        <f aca="true" t="shared" si="0" ref="C3:H3">C4+C8+C9</f>
        <v>4798.561</v>
      </c>
      <c r="D3" s="54">
        <f t="shared" si="0"/>
        <v>471.192</v>
      </c>
      <c r="E3" s="54">
        <f t="shared" si="0"/>
        <v>379.674</v>
      </c>
      <c r="F3" s="54">
        <f t="shared" si="0"/>
        <v>386.523</v>
      </c>
      <c r="G3" s="54">
        <f t="shared" si="0"/>
        <v>405.959</v>
      </c>
      <c r="H3" s="54">
        <f t="shared" si="0"/>
        <v>463.459</v>
      </c>
      <c r="I3" s="54">
        <f aca="true" t="shared" si="1" ref="I3:N3">I4+I8+I9</f>
        <v>392.16400000000004</v>
      </c>
      <c r="J3" s="54">
        <f t="shared" si="1"/>
        <v>446.361</v>
      </c>
      <c r="K3" s="54">
        <f t="shared" si="1"/>
        <v>414.51800000000003</v>
      </c>
      <c r="L3" s="54">
        <f t="shared" si="1"/>
        <v>425.942</v>
      </c>
      <c r="M3" s="54">
        <f t="shared" si="1"/>
        <v>469.955</v>
      </c>
      <c r="N3" s="54">
        <f t="shared" si="1"/>
        <v>580.044</v>
      </c>
      <c r="O3" s="54">
        <f>O4+O8+O9</f>
        <v>340.973</v>
      </c>
      <c r="P3" s="54">
        <f>SUM(D3:O3)</f>
        <v>5176.764</v>
      </c>
    </row>
    <row r="4" spans="1:16" ht="12.75">
      <c r="A4" s="68" t="s">
        <v>16</v>
      </c>
      <c r="B4" s="69" t="s">
        <v>210</v>
      </c>
      <c r="C4" s="111">
        <f aca="true" t="shared" si="2" ref="C4:H4">SUM(C5:C7)</f>
        <v>2112.614</v>
      </c>
      <c r="D4" s="71">
        <f t="shared" si="2"/>
        <v>223.953</v>
      </c>
      <c r="E4" s="71">
        <f t="shared" si="2"/>
        <v>169.882</v>
      </c>
      <c r="F4" s="71">
        <f t="shared" si="2"/>
        <v>195.695</v>
      </c>
      <c r="G4" s="71">
        <f t="shared" si="2"/>
        <v>203.213</v>
      </c>
      <c r="H4" s="71">
        <f t="shared" si="2"/>
        <v>237.524</v>
      </c>
      <c r="I4" s="71">
        <f aca="true" t="shared" si="3" ref="I4:N4">SUM(I5:I7)</f>
        <v>183.847</v>
      </c>
      <c r="J4" s="71">
        <f t="shared" si="3"/>
        <v>230.819</v>
      </c>
      <c r="K4" s="71">
        <f t="shared" si="3"/>
        <v>194.961</v>
      </c>
      <c r="L4" s="71">
        <f t="shared" si="3"/>
        <v>205.838</v>
      </c>
      <c r="M4" s="71">
        <f t="shared" si="3"/>
        <v>251.422</v>
      </c>
      <c r="N4" s="71">
        <f t="shared" si="3"/>
        <v>358.60699999999997</v>
      </c>
      <c r="O4" s="71">
        <f>SUM(O5:O7)</f>
        <v>105.029</v>
      </c>
      <c r="P4" s="54">
        <f aca="true" t="shared" si="4" ref="P4:P13">SUM(D4:O4)</f>
        <v>2560.7899999999995</v>
      </c>
    </row>
    <row r="5" spans="1:16" ht="12.75">
      <c r="A5" s="68" t="s">
        <v>1</v>
      </c>
      <c r="B5" s="66" t="s">
        <v>211</v>
      </c>
      <c r="C5" s="111">
        <v>2104.285</v>
      </c>
      <c r="D5" s="71">
        <v>219.34</v>
      </c>
      <c r="E5" s="71">
        <v>164.231</v>
      </c>
      <c r="F5" s="71">
        <v>190.632</v>
      </c>
      <c r="G5" s="71">
        <v>200.588</v>
      </c>
      <c r="H5" s="71">
        <v>235.255</v>
      </c>
      <c r="I5" s="71">
        <v>183.847</v>
      </c>
      <c r="J5" s="71">
        <v>230.819</v>
      </c>
      <c r="K5" s="71">
        <v>194.961</v>
      </c>
      <c r="L5" s="71">
        <v>200.914</v>
      </c>
      <c r="M5" s="71">
        <v>245.845</v>
      </c>
      <c r="N5" s="71">
        <v>348.974</v>
      </c>
      <c r="O5" s="71">
        <v>105.029</v>
      </c>
      <c r="P5" s="54">
        <f t="shared" si="4"/>
        <v>2520.435</v>
      </c>
    </row>
    <row r="6" spans="1:16" ht="12.75">
      <c r="A6" s="68" t="s">
        <v>2</v>
      </c>
      <c r="B6" s="66" t="s">
        <v>215</v>
      </c>
      <c r="C6" s="111">
        <v>8.329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54">
        <f t="shared" si="4"/>
        <v>0</v>
      </c>
    </row>
    <row r="7" spans="1:16" ht="12.75">
      <c r="A7" s="68" t="s">
        <v>217</v>
      </c>
      <c r="B7" s="66" t="s">
        <v>163</v>
      </c>
      <c r="C7" s="111">
        <v>0</v>
      </c>
      <c r="D7" s="71">
        <v>4.613</v>
      </c>
      <c r="E7" s="71">
        <v>5.651</v>
      </c>
      <c r="F7" s="71">
        <v>5.063</v>
      </c>
      <c r="G7" s="71">
        <v>2.625</v>
      </c>
      <c r="H7" s="71">
        <v>2.269</v>
      </c>
      <c r="I7" s="71"/>
      <c r="J7" s="71"/>
      <c r="K7" s="71"/>
      <c r="L7" s="71">
        <v>4.924</v>
      </c>
      <c r="M7" s="71">
        <v>5.577</v>
      </c>
      <c r="N7" s="71">
        <v>9.633</v>
      </c>
      <c r="O7" s="71"/>
      <c r="P7" s="54">
        <f t="shared" si="4"/>
        <v>40.35499999999999</v>
      </c>
    </row>
    <row r="8" spans="1:16" ht="12.75">
      <c r="A8" s="68" t="s">
        <v>23</v>
      </c>
      <c r="B8" s="66" t="s">
        <v>206</v>
      </c>
      <c r="C8" s="111">
        <v>1433.557</v>
      </c>
      <c r="D8" s="71">
        <v>95.27</v>
      </c>
      <c r="E8" s="71">
        <v>78.943</v>
      </c>
      <c r="F8" s="71">
        <v>95.293</v>
      </c>
      <c r="G8" s="71">
        <v>104.337</v>
      </c>
      <c r="H8" s="71">
        <v>123.345</v>
      </c>
      <c r="I8" s="71">
        <v>110.395</v>
      </c>
      <c r="J8" s="71">
        <v>115.525</v>
      </c>
      <c r="K8" s="71">
        <v>118.312</v>
      </c>
      <c r="L8" s="71">
        <v>118.882</v>
      </c>
      <c r="M8" s="71">
        <v>118.054</v>
      </c>
      <c r="N8" s="71">
        <v>120.197</v>
      </c>
      <c r="O8" s="71">
        <v>130.422</v>
      </c>
      <c r="P8" s="54">
        <f t="shared" si="4"/>
        <v>1328.975</v>
      </c>
    </row>
    <row r="9" spans="1:16" ht="12.75">
      <c r="A9" s="68" t="s">
        <v>5</v>
      </c>
      <c r="B9" s="66" t="s">
        <v>212</v>
      </c>
      <c r="C9" s="111">
        <f aca="true" t="shared" si="5" ref="C9:H9">SUM(C10:C13)</f>
        <v>1252.3899999999999</v>
      </c>
      <c r="D9" s="71">
        <f t="shared" si="5"/>
        <v>151.969</v>
      </c>
      <c r="E9" s="71">
        <f t="shared" si="5"/>
        <v>130.849</v>
      </c>
      <c r="F9" s="71">
        <f t="shared" si="5"/>
        <v>95.535</v>
      </c>
      <c r="G9" s="71">
        <f t="shared" si="5"/>
        <v>98.409</v>
      </c>
      <c r="H9" s="71">
        <f t="shared" si="5"/>
        <v>102.58999999999999</v>
      </c>
      <c r="I9" s="71">
        <f aca="true" t="shared" si="6" ref="I9:N9">SUM(I10:I13)</f>
        <v>97.92200000000001</v>
      </c>
      <c r="J9" s="71">
        <f t="shared" si="6"/>
        <v>100.01700000000001</v>
      </c>
      <c r="K9" s="71">
        <f t="shared" si="6"/>
        <v>101.245</v>
      </c>
      <c r="L9" s="71">
        <f t="shared" si="6"/>
        <v>101.222</v>
      </c>
      <c r="M9" s="71">
        <f t="shared" si="6"/>
        <v>100.479</v>
      </c>
      <c r="N9" s="71">
        <f t="shared" si="6"/>
        <v>101.24</v>
      </c>
      <c r="O9" s="71">
        <f>SUM(O10:O13)</f>
        <v>105.522</v>
      </c>
      <c r="P9" s="54">
        <f t="shared" si="4"/>
        <v>1286.999</v>
      </c>
    </row>
    <row r="10" spans="1:16" ht="25.5">
      <c r="A10" s="68" t="s">
        <v>173</v>
      </c>
      <c r="B10" s="16" t="s">
        <v>77</v>
      </c>
      <c r="C10" s="111">
        <v>529.269</v>
      </c>
      <c r="D10" s="71">
        <v>35.265</v>
      </c>
      <c r="E10" s="71">
        <v>30.231</v>
      </c>
      <c r="F10" s="71">
        <v>38.261</v>
      </c>
      <c r="G10" s="71">
        <v>41.337</v>
      </c>
      <c r="H10" s="71">
        <v>45.539</v>
      </c>
      <c r="I10" s="71">
        <v>41.057</v>
      </c>
      <c r="J10" s="71">
        <v>43.104</v>
      </c>
      <c r="K10" s="71">
        <v>44.107</v>
      </c>
      <c r="L10" s="71">
        <v>43.876</v>
      </c>
      <c r="M10" s="71">
        <v>43.586</v>
      </c>
      <c r="N10" s="71">
        <v>44.37</v>
      </c>
      <c r="O10" s="71">
        <v>48.311</v>
      </c>
      <c r="P10" s="54">
        <f t="shared" si="4"/>
        <v>499.0439999999999</v>
      </c>
    </row>
    <row r="11" spans="1:16" ht="20.25" customHeight="1">
      <c r="A11" s="68" t="s">
        <v>174</v>
      </c>
      <c r="B11" s="66" t="s">
        <v>207</v>
      </c>
      <c r="C11" s="112">
        <v>51.973</v>
      </c>
      <c r="D11" s="71">
        <v>0.48</v>
      </c>
      <c r="E11" s="71">
        <v>0.822</v>
      </c>
      <c r="F11" s="71">
        <v>0.441</v>
      </c>
      <c r="G11" s="71">
        <v>0.503</v>
      </c>
      <c r="H11" s="71">
        <v>1.011</v>
      </c>
      <c r="I11" s="71">
        <v>0.465</v>
      </c>
      <c r="J11" s="71">
        <v>0.513</v>
      </c>
      <c r="K11" s="71">
        <v>0.738</v>
      </c>
      <c r="L11" s="71">
        <v>0.946</v>
      </c>
      <c r="M11" s="71">
        <v>0.493</v>
      </c>
      <c r="N11" s="71">
        <v>0.47</v>
      </c>
      <c r="O11" s="71">
        <v>0.838</v>
      </c>
      <c r="P11" s="54">
        <f t="shared" si="4"/>
        <v>7.719999999999999</v>
      </c>
    </row>
    <row r="12" spans="1:16" ht="20.25" customHeight="1">
      <c r="A12" s="68" t="s">
        <v>175</v>
      </c>
      <c r="B12" s="66" t="s">
        <v>208</v>
      </c>
      <c r="C12" s="112">
        <v>671.148</v>
      </c>
      <c r="D12" s="71">
        <v>115.6</v>
      </c>
      <c r="E12" s="71">
        <v>99.172</v>
      </c>
      <c r="F12" s="71">
        <v>56.209</v>
      </c>
      <c r="G12" s="71">
        <v>55.967</v>
      </c>
      <c r="H12" s="71">
        <v>55.967</v>
      </c>
      <c r="I12" s="71">
        <v>55.967</v>
      </c>
      <c r="J12" s="71">
        <v>55.967</v>
      </c>
      <c r="K12" s="71">
        <v>55.967</v>
      </c>
      <c r="L12" s="71">
        <v>55.967</v>
      </c>
      <c r="M12" s="71">
        <v>55.967</v>
      </c>
      <c r="N12" s="71">
        <v>55.967</v>
      </c>
      <c r="O12" s="71">
        <v>55.967</v>
      </c>
      <c r="P12" s="54">
        <f t="shared" si="4"/>
        <v>774.6839999999999</v>
      </c>
    </row>
    <row r="13" spans="1:16" ht="20.25" customHeight="1">
      <c r="A13" s="73" t="s">
        <v>218</v>
      </c>
      <c r="B13" s="74" t="s">
        <v>167</v>
      </c>
      <c r="C13" s="113">
        <v>0</v>
      </c>
      <c r="D13" s="71">
        <v>0.624</v>
      </c>
      <c r="E13" s="71">
        <v>0.624</v>
      </c>
      <c r="F13" s="71">
        <v>0.624</v>
      </c>
      <c r="G13" s="71">
        <v>0.602</v>
      </c>
      <c r="H13" s="71">
        <v>0.073</v>
      </c>
      <c r="I13" s="71">
        <v>0.433</v>
      </c>
      <c r="J13" s="71">
        <v>0.433</v>
      </c>
      <c r="K13" s="71">
        <v>0.433</v>
      </c>
      <c r="L13" s="71">
        <v>0.433</v>
      </c>
      <c r="M13" s="71">
        <v>0.433</v>
      </c>
      <c r="N13" s="71">
        <v>0.433</v>
      </c>
      <c r="O13" s="71">
        <v>0.406</v>
      </c>
      <c r="P13" s="54">
        <f t="shared" si="4"/>
        <v>5.550999999999998</v>
      </c>
    </row>
    <row r="14" spans="1:16" ht="35.25" customHeight="1">
      <c r="A14" s="101" t="s">
        <v>0</v>
      </c>
      <c r="B14" s="106" t="s">
        <v>44</v>
      </c>
      <c r="C14" s="108" t="s">
        <v>45</v>
      </c>
      <c r="D14" s="107" t="s">
        <v>45</v>
      </c>
      <c r="E14" s="107" t="s">
        <v>45</v>
      </c>
      <c r="F14" s="107" t="s">
        <v>45</v>
      </c>
      <c r="G14" s="107" t="s">
        <v>45</v>
      </c>
      <c r="H14" s="107" t="s">
        <v>45</v>
      </c>
      <c r="I14" s="107" t="s">
        <v>45</v>
      </c>
      <c r="J14" s="107" t="s">
        <v>45</v>
      </c>
      <c r="K14" s="107" t="s">
        <v>45</v>
      </c>
      <c r="L14" s="163" t="s">
        <v>45</v>
      </c>
      <c r="M14" s="163" t="s">
        <v>45</v>
      </c>
      <c r="N14" s="163" t="s">
        <v>45</v>
      </c>
      <c r="O14" s="163" t="s">
        <v>45</v>
      </c>
      <c r="P14" s="167" t="s">
        <v>45</v>
      </c>
    </row>
    <row r="15" spans="1:16" ht="12.75">
      <c r="A15" s="98" t="s">
        <v>16</v>
      </c>
      <c r="B15" s="99">
        <v>2</v>
      </c>
      <c r="C15" s="109">
        <v>3</v>
      </c>
      <c r="D15" s="100">
        <v>1</v>
      </c>
      <c r="E15" s="100">
        <v>2</v>
      </c>
      <c r="F15" s="100">
        <v>3</v>
      </c>
      <c r="G15" s="100">
        <v>4</v>
      </c>
      <c r="H15" s="100">
        <v>5</v>
      </c>
      <c r="I15" s="100">
        <v>6</v>
      </c>
      <c r="J15" s="100">
        <v>7</v>
      </c>
      <c r="K15" s="100">
        <v>8</v>
      </c>
      <c r="L15" s="164">
        <v>9</v>
      </c>
      <c r="M15" s="164">
        <v>10</v>
      </c>
      <c r="N15" s="164">
        <v>11</v>
      </c>
      <c r="O15" s="164">
        <v>12</v>
      </c>
      <c r="P15" s="168">
        <v>5</v>
      </c>
    </row>
    <row r="16" spans="1:16" ht="25.5">
      <c r="A16" s="11"/>
      <c r="B16" s="12" t="s">
        <v>46</v>
      </c>
      <c r="C16" s="114">
        <f aca="true" t="shared" si="7" ref="C16:H16">C17+C21+C22+C23+C24+C25+C33+C41+C44+C45+C50+C53</f>
        <v>2404.677</v>
      </c>
      <c r="D16" s="80">
        <f t="shared" si="7"/>
        <v>136.394</v>
      </c>
      <c r="E16" s="80">
        <f t="shared" si="7"/>
        <v>137.576</v>
      </c>
      <c r="F16" s="80">
        <f t="shared" si="7"/>
        <v>178.63000000000002</v>
      </c>
      <c r="G16" s="80">
        <f t="shared" si="7"/>
        <v>142.28599999999997</v>
      </c>
      <c r="H16" s="131">
        <f t="shared" si="7"/>
        <v>139.9</v>
      </c>
      <c r="I16" s="131">
        <f aca="true" t="shared" si="8" ref="I16:N16">I17+I21+I22+I23+I24+I25+I33+I41+I44+I45+I50+I53</f>
        <v>164.31500000000003</v>
      </c>
      <c r="J16" s="131">
        <f t="shared" si="8"/>
        <v>164.00399999999996</v>
      </c>
      <c r="K16" s="131">
        <f t="shared" si="8"/>
        <v>149.72899999999998</v>
      </c>
      <c r="L16" s="131">
        <f t="shared" si="8"/>
        <v>185.39500000000004</v>
      </c>
      <c r="M16" s="131">
        <f t="shared" si="8"/>
        <v>188.78999999999996</v>
      </c>
      <c r="N16" s="131">
        <f t="shared" si="8"/>
        <v>146.97600000000003</v>
      </c>
      <c r="O16" s="131">
        <f>O17+O21+O22+O23+O24+O25+O33+O41+O44+O45+O50+O53</f>
        <v>194.22400000000002</v>
      </c>
      <c r="P16" s="54">
        <f aca="true" t="shared" si="9" ref="P16:P57">SUM(D16:O16)</f>
        <v>1928.219</v>
      </c>
    </row>
    <row r="17" spans="1:16" ht="12.75">
      <c r="A17" s="13" t="s">
        <v>16</v>
      </c>
      <c r="B17" s="12" t="s">
        <v>47</v>
      </c>
      <c r="C17" s="114">
        <f aca="true" t="shared" si="10" ref="C17:H17">SUM(C18:C20)</f>
        <v>482.28</v>
      </c>
      <c r="D17" s="80">
        <f t="shared" si="10"/>
        <v>27.379</v>
      </c>
      <c r="E17" s="80">
        <f t="shared" si="10"/>
        <v>26.474</v>
      </c>
      <c r="F17" s="80">
        <f t="shared" si="10"/>
        <v>30.07</v>
      </c>
      <c r="G17" s="80">
        <f t="shared" si="10"/>
        <v>28.698</v>
      </c>
      <c r="H17" s="80">
        <f t="shared" si="10"/>
        <v>33.674</v>
      </c>
      <c r="I17" s="80">
        <f aca="true" t="shared" si="11" ref="I17:N17">SUM(I18:I20)</f>
        <v>32.388</v>
      </c>
      <c r="J17" s="80">
        <f t="shared" si="11"/>
        <v>34.36</v>
      </c>
      <c r="K17" s="80">
        <f t="shared" si="11"/>
        <v>32.516</v>
      </c>
      <c r="L17" s="80">
        <f t="shared" si="11"/>
        <v>33.999</v>
      </c>
      <c r="M17" s="80">
        <f t="shared" si="11"/>
        <v>35.723</v>
      </c>
      <c r="N17" s="80">
        <f t="shared" si="11"/>
        <v>30.894</v>
      </c>
      <c r="O17" s="80">
        <f>SUM(O18:O20)</f>
        <v>35.717</v>
      </c>
      <c r="P17" s="54">
        <f t="shared" si="9"/>
        <v>381.892</v>
      </c>
    </row>
    <row r="18" spans="1:17" ht="15.75" customHeight="1">
      <c r="A18" s="136" t="s">
        <v>1</v>
      </c>
      <c r="B18" s="137" t="s">
        <v>75</v>
      </c>
      <c r="C18" s="138">
        <v>346.027</v>
      </c>
      <c r="D18" s="139">
        <v>19.343</v>
      </c>
      <c r="E18" s="140">
        <v>19.048</v>
      </c>
      <c r="F18" s="141">
        <v>20.69</v>
      </c>
      <c r="G18" s="141">
        <v>19.982</v>
      </c>
      <c r="H18" s="141">
        <v>23.939</v>
      </c>
      <c r="I18" s="141">
        <v>23.577</v>
      </c>
      <c r="J18" s="141">
        <v>24.989</v>
      </c>
      <c r="K18" s="158">
        <v>23.547</v>
      </c>
      <c r="L18" s="158">
        <v>24.681</v>
      </c>
      <c r="M18" s="158">
        <v>25.852</v>
      </c>
      <c r="N18" s="158">
        <v>22.531</v>
      </c>
      <c r="O18" s="211">
        <v>25.624</v>
      </c>
      <c r="P18" s="54">
        <f t="shared" si="9"/>
        <v>273.80300000000005</v>
      </c>
      <c r="Q18" s="161"/>
    </row>
    <row r="19" spans="1:17" ht="24" customHeight="1">
      <c r="A19" s="142" t="s">
        <v>2</v>
      </c>
      <c r="B19" s="143" t="s">
        <v>77</v>
      </c>
      <c r="C19" s="144">
        <v>127.753</v>
      </c>
      <c r="D19" s="145">
        <v>7.468</v>
      </c>
      <c r="E19" s="146">
        <v>6.858</v>
      </c>
      <c r="F19" s="147">
        <v>7.426</v>
      </c>
      <c r="G19" s="147">
        <v>7.198</v>
      </c>
      <c r="H19" s="147">
        <v>8.808</v>
      </c>
      <c r="I19" s="147">
        <v>8.661</v>
      </c>
      <c r="J19" s="147">
        <v>9.221</v>
      </c>
      <c r="K19" s="158">
        <v>8.719</v>
      </c>
      <c r="L19" s="158">
        <v>9.136</v>
      </c>
      <c r="M19" s="158">
        <v>9.507</v>
      </c>
      <c r="N19" s="158">
        <v>8.213</v>
      </c>
      <c r="O19" s="211">
        <v>9.397</v>
      </c>
      <c r="P19" s="54">
        <f t="shared" si="9"/>
        <v>100.612</v>
      </c>
      <c r="Q19" s="161"/>
    </row>
    <row r="20" spans="1:16" ht="12.75">
      <c r="A20" s="13" t="s">
        <v>3</v>
      </c>
      <c r="B20" s="12" t="s">
        <v>78</v>
      </c>
      <c r="C20" s="114">
        <v>8.5</v>
      </c>
      <c r="D20" s="90">
        <v>0.568</v>
      </c>
      <c r="E20" s="79">
        <v>0.568</v>
      </c>
      <c r="F20" s="87">
        <v>1.954</v>
      </c>
      <c r="G20" s="87">
        <v>1.518</v>
      </c>
      <c r="H20" s="87">
        <v>0.927</v>
      </c>
      <c r="I20" s="87">
        <v>0.15</v>
      </c>
      <c r="J20" s="87">
        <v>0.15</v>
      </c>
      <c r="K20" s="87">
        <v>0.25</v>
      </c>
      <c r="L20" s="87">
        <v>0.182</v>
      </c>
      <c r="M20" s="87">
        <v>0.364</v>
      </c>
      <c r="N20" s="87">
        <v>0.15</v>
      </c>
      <c r="O20" s="87">
        <v>0.696</v>
      </c>
      <c r="P20" s="54">
        <f t="shared" si="9"/>
        <v>7.477000000000001</v>
      </c>
    </row>
    <row r="21" spans="1:16" ht="25.5">
      <c r="A21" s="13" t="s">
        <v>23</v>
      </c>
      <c r="B21" s="12" t="s">
        <v>48</v>
      </c>
      <c r="C21" s="114">
        <v>7.6</v>
      </c>
      <c r="D21" s="90">
        <v>0.637</v>
      </c>
      <c r="E21" s="79">
        <v>0.637</v>
      </c>
      <c r="F21" s="87">
        <v>0.805</v>
      </c>
      <c r="G21" s="87">
        <v>0.914</v>
      </c>
      <c r="H21" s="87">
        <v>0.622</v>
      </c>
      <c r="I21" s="87">
        <v>0.914</v>
      </c>
      <c r="J21" s="87">
        <v>0.914</v>
      </c>
      <c r="K21" s="87">
        <v>0.914</v>
      </c>
      <c r="L21" s="87">
        <v>0.914</v>
      </c>
      <c r="M21" s="87">
        <v>0.914</v>
      </c>
      <c r="N21" s="87">
        <v>0.914</v>
      </c>
      <c r="O21" s="87">
        <v>0.914</v>
      </c>
      <c r="P21" s="54">
        <f t="shared" si="9"/>
        <v>10.012999999999998</v>
      </c>
    </row>
    <row r="22" spans="1:16" ht="38.25">
      <c r="A22" s="65" t="s">
        <v>5</v>
      </c>
      <c r="B22" s="12" t="s">
        <v>221</v>
      </c>
      <c r="C22" s="115">
        <v>8.4</v>
      </c>
      <c r="D22" s="90">
        <v>3.667</v>
      </c>
      <c r="E22" s="79">
        <f>0.143+0.05</f>
        <v>0.193</v>
      </c>
      <c r="F22" s="87">
        <v>4.613</v>
      </c>
      <c r="G22" s="87">
        <v>8.297</v>
      </c>
      <c r="H22" s="87"/>
      <c r="I22" s="87"/>
      <c r="J22" s="87"/>
      <c r="K22" s="87">
        <f>5.054+0.867+0.62</f>
        <v>6.541</v>
      </c>
      <c r="L22" s="87">
        <f>2.459+0.784+0.906</f>
        <v>4.149</v>
      </c>
      <c r="M22" s="87">
        <f>2.682+8.161+0.7</f>
        <v>11.543</v>
      </c>
      <c r="N22" s="87">
        <v>10.111</v>
      </c>
      <c r="O22" s="87">
        <f>0.633+0.553</f>
        <v>1.186</v>
      </c>
      <c r="P22" s="54">
        <f t="shared" si="9"/>
        <v>50.300000000000004</v>
      </c>
    </row>
    <row r="23" spans="1:16" ht="25.5">
      <c r="A23" s="65" t="s">
        <v>24</v>
      </c>
      <c r="B23" s="12" t="s">
        <v>49</v>
      </c>
      <c r="C23" s="114">
        <v>4</v>
      </c>
      <c r="D23" s="91"/>
      <c r="E23" s="78"/>
      <c r="F23" s="88"/>
      <c r="G23" s="88"/>
      <c r="H23" s="88"/>
      <c r="I23" s="88"/>
      <c r="J23" s="88"/>
      <c r="K23" s="159"/>
      <c r="L23" s="159"/>
      <c r="M23" s="159"/>
      <c r="N23" s="159"/>
      <c r="O23" s="159"/>
      <c r="P23" s="54">
        <f t="shared" si="9"/>
        <v>0</v>
      </c>
    </row>
    <row r="24" spans="1:16" ht="25.5">
      <c r="A24" s="65" t="s">
        <v>25</v>
      </c>
      <c r="B24" s="12" t="s">
        <v>195</v>
      </c>
      <c r="C24" s="114">
        <v>0.4</v>
      </c>
      <c r="D24" s="90">
        <v>0.056</v>
      </c>
      <c r="E24" s="79"/>
      <c r="F24" s="87"/>
      <c r="G24" s="87"/>
      <c r="H24" s="87"/>
      <c r="I24" s="87"/>
      <c r="J24" s="87">
        <v>0.067</v>
      </c>
      <c r="K24" s="87"/>
      <c r="L24" s="87">
        <v>0.067</v>
      </c>
      <c r="M24" s="87">
        <v>0.067</v>
      </c>
      <c r="N24" s="87"/>
      <c r="O24" s="87"/>
      <c r="P24" s="54">
        <f t="shared" si="9"/>
        <v>0.257</v>
      </c>
    </row>
    <row r="25" spans="1:16" ht="12.75">
      <c r="A25" s="65" t="s">
        <v>26</v>
      </c>
      <c r="B25" s="16" t="s">
        <v>52</v>
      </c>
      <c r="C25" s="114">
        <f aca="true" t="shared" si="12" ref="C25:H25">SUM(C26:C29)</f>
        <v>1291.231</v>
      </c>
      <c r="D25" s="80">
        <f t="shared" si="12"/>
        <v>81.56700000000001</v>
      </c>
      <c r="E25" s="80">
        <f t="shared" si="12"/>
        <v>73.653</v>
      </c>
      <c r="F25" s="80">
        <f t="shared" si="12"/>
        <v>83.909</v>
      </c>
      <c r="G25" s="80">
        <f t="shared" si="12"/>
        <v>78.28999999999999</v>
      </c>
      <c r="H25" s="80">
        <f t="shared" si="12"/>
        <v>84.929</v>
      </c>
      <c r="I25" s="80">
        <f aca="true" t="shared" si="13" ref="I25:N25">SUM(I26:I29)</f>
        <v>84.80999999999999</v>
      </c>
      <c r="J25" s="80">
        <f t="shared" si="13"/>
        <v>89.496</v>
      </c>
      <c r="K25" s="80">
        <f t="shared" si="13"/>
        <v>82.598</v>
      </c>
      <c r="L25" s="80">
        <f t="shared" si="13"/>
        <v>94.089</v>
      </c>
      <c r="M25" s="80">
        <f t="shared" si="13"/>
        <v>90.85</v>
      </c>
      <c r="N25" s="80">
        <f t="shared" si="13"/>
        <v>81.887</v>
      </c>
      <c r="O25" s="80">
        <f>SUM(O26:O29)</f>
        <v>97.238</v>
      </c>
      <c r="P25" s="54">
        <f t="shared" si="9"/>
        <v>1023.316</v>
      </c>
    </row>
    <row r="26" spans="1:17" ht="25.5">
      <c r="A26" s="136" t="s">
        <v>196</v>
      </c>
      <c r="B26" s="137" t="s">
        <v>82</v>
      </c>
      <c r="C26" s="138">
        <v>699.482</v>
      </c>
      <c r="D26" s="139">
        <v>39.272</v>
      </c>
      <c r="E26" s="140">
        <v>38.673</v>
      </c>
      <c r="F26" s="141">
        <v>42.008</v>
      </c>
      <c r="G26" s="141">
        <v>40.568</v>
      </c>
      <c r="H26" s="141">
        <v>48.603</v>
      </c>
      <c r="I26" s="141">
        <v>47.867</v>
      </c>
      <c r="J26" s="141">
        <v>50.735</v>
      </c>
      <c r="K26" s="158">
        <v>47.809</v>
      </c>
      <c r="L26" s="158">
        <v>50.109</v>
      </c>
      <c r="M26" s="158">
        <v>52.487</v>
      </c>
      <c r="N26" s="158">
        <v>45.745</v>
      </c>
      <c r="O26" s="211">
        <v>52.023</v>
      </c>
      <c r="P26" s="54">
        <f t="shared" si="9"/>
        <v>555.8990000000001</v>
      </c>
      <c r="Q26" s="161"/>
    </row>
    <row r="27" spans="1:17" ht="25.5">
      <c r="A27" s="142" t="s">
        <v>197</v>
      </c>
      <c r="B27" s="143" t="s">
        <v>76</v>
      </c>
      <c r="C27" s="144">
        <v>258.249</v>
      </c>
      <c r="D27" s="145">
        <v>15.162</v>
      </c>
      <c r="E27" s="146">
        <v>13.924</v>
      </c>
      <c r="F27" s="147">
        <v>15.077</v>
      </c>
      <c r="G27" s="147">
        <v>14.615</v>
      </c>
      <c r="H27" s="147">
        <v>17.882</v>
      </c>
      <c r="I27" s="147">
        <v>17.583</v>
      </c>
      <c r="J27" s="147">
        <v>18.722</v>
      </c>
      <c r="K27" s="158">
        <v>17.703</v>
      </c>
      <c r="L27" s="158">
        <v>18.548</v>
      </c>
      <c r="M27" s="158">
        <v>19.302</v>
      </c>
      <c r="N27" s="158">
        <v>16.676</v>
      </c>
      <c r="O27" s="211">
        <v>19.079</v>
      </c>
      <c r="P27" s="54">
        <f t="shared" si="9"/>
        <v>204.273</v>
      </c>
      <c r="Q27" s="161"/>
    </row>
    <row r="28" spans="1:16" ht="38.25">
      <c r="A28" s="65" t="s">
        <v>198</v>
      </c>
      <c r="B28" s="12" t="s">
        <v>83</v>
      </c>
      <c r="C28" s="114">
        <v>4.8</v>
      </c>
      <c r="D28" s="78"/>
      <c r="E28" s="78"/>
      <c r="F28" s="88"/>
      <c r="G28" s="88"/>
      <c r="H28" s="88"/>
      <c r="I28" s="88"/>
      <c r="J28" s="88"/>
      <c r="K28" s="159"/>
      <c r="L28" s="87">
        <v>7.333</v>
      </c>
      <c r="M28" s="87"/>
      <c r="N28" s="87"/>
      <c r="O28" s="87">
        <v>5.8</v>
      </c>
      <c r="P28" s="54">
        <f t="shared" si="9"/>
        <v>13.133</v>
      </c>
    </row>
    <row r="29" spans="1:16" ht="12.75">
      <c r="A29" s="65" t="s">
        <v>199</v>
      </c>
      <c r="B29" s="12" t="s">
        <v>53</v>
      </c>
      <c r="C29" s="114">
        <f aca="true" t="shared" si="14" ref="C29:H29">SUM(C30:C32)</f>
        <v>328.7</v>
      </c>
      <c r="D29" s="80">
        <f t="shared" si="14"/>
        <v>27.133000000000003</v>
      </c>
      <c r="E29" s="80">
        <f t="shared" si="14"/>
        <v>21.056</v>
      </c>
      <c r="F29" s="80">
        <f t="shared" si="14"/>
        <v>26.824</v>
      </c>
      <c r="G29" s="80">
        <f t="shared" si="14"/>
        <v>23.106999999999996</v>
      </c>
      <c r="H29" s="80">
        <f t="shared" si="14"/>
        <v>18.444000000000003</v>
      </c>
      <c r="I29" s="80">
        <f aca="true" t="shared" si="15" ref="I29:N29">SUM(I30:I32)</f>
        <v>19.359999999999996</v>
      </c>
      <c r="J29" s="80">
        <f t="shared" si="15"/>
        <v>20.038999999999998</v>
      </c>
      <c r="K29" s="80">
        <f t="shared" si="15"/>
        <v>17.086</v>
      </c>
      <c r="L29" s="80">
        <f t="shared" si="15"/>
        <v>18.099</v>
      </c>
      <c r="M29" s="80">
        <f t="shared" si="15"/>
        <v>19.061</v>
      </c>
      <c r="N29" s="80">
        <f t="shared" si="15"/>
        <v>19.466</v>
      </c>
      <c r="O29" s="80">
        <f>SUM(O30:O32)</f>
        <v>20.336</v>
      </c>
      <c r="P29" s="54">
        <f t="shared" si="9"/>
        <v>250.01099999999997</v>
      </c>
    </row>
    <row r="30" spans="1:16" ht="14.25" customHeight="1">
      <c r="A30" s="65" t="s">
        <v>200</v>
      </c>
      <c r="B30" s="12" t="s">
        <v>84</v>
      </c>
      <c r="C30" s="114">
        <v>197.5</v>
      </c>
      <c r="D30" s="79">
        <v>15.326</v>
      </c>
      <c r="E30" s="79">
        <v>15.987</v>
      </c>
      <c r="F30" s="87">
        <v>20.085</v>
      </c>
      <c r="G30" s="87">
        <v>17.862</v>
      </c>
      <c r="H30" s="87">
        <v>14.646</v>
      </c>
      <c r="I30" s="87">
        <v>16.188</v>
      </c>
      <c r="J30" s="87">
        <v>16.203</v>
      </c>
      <c r="K30" s="87">
        <v>13.736</v>
      </c>
      <c r="L30" s="87">
        <v>14.031</v>
      </c>
      <c r="M30" s="70">
        <v>15.05</v>
      </c>
      <c r="N30" s="70">
        <v>13.723</v>
      </c>
      <c r="O30" s="70">
        <v>15.079</v>
      </c>
      <c r="P30" s="54">
        <f t="shared" si="9"/>
        <v>187.91600000000005</v>
      </c>
    </row>
    <row r="31" spans="1:16" ht="12.75">
      <c r="A31" s="65" t="s">
        <v>201</v>
      </c>
      <c r="B31" s="12" t="s">
        <v>85</v>
      </c>
      <c r="C31" s="114">
        <v>109.4</v>
      </c>
      <c r="D31" s="79">
        <v>9.859</v>
      </c>
      <c r="E31" s="79">
        <v>4.667</v>
      </c>
      <c r="F31" s="87">
        <v>6.102</v>
      </c>
      <c r="G31" s="87">
        <v>4.752</v>
      </c>
      <c r="H31" s="87">
        <v>3.25</v>
      </c>
      <c r="I31" s="87">
        <v>2.417</v>
      </c>
      <c r="J31" s="87">
        <v>3.433</v>
      </c>
      <c r="K31" s="87">
        <v>2.807</v>
      </c>
      <c r="L31" s="87">
        <v>3.823</v>
      </c>
      <c r="M31" s="70">
        <v>3.23</v>
      </c>
      <c r="N31" s="70">
        <v>4.547</v>
      </c>
      <c r="O31" s="70">
        <v>3.769</v>
      </c>
      <c r="P31" s="54">
        <f t="shared" si="9"/>
        <v>52.65599999999999</v>
      </c>
    </row>
    <row r="32" spans="1:16" ht="12.75">
      <c r="A32" s="65" t="s">
        <v>202</v>
      </c>
      <c r="B32" s="18" t="s">
        <v>93</v>
      </c>
      <c r="C32" s="114">
        <v>21.8</v>
      </c>
      <c r="D32" s="79">
        <v>1.948</v>
      </c>
      <c r="E32" s="79">
        <v>0.402</v>
      </c>
      <c r="F32" s="87">
        <v>0.637</v>
      </c>
      <c r="G32" s="87">
        <v>0.493</v>
      </c>
      <c r="H32" s="87">
        <v>0.548</v>
      </c>
      <c r="I32" s="87">
        <v>0.755</v>
      </c>
      <c r="J32" s="87">
        <v>0.403</v>
      </c>
      <c r="K32" s="87">
        <v>0.543</v>
      </c>
      <c r="L32" s="87">
        <v>0.245</v>
      </c>
      <c r="M32" s="70">
        <v>0.781</v>
      </c>
      <c r="N32" s="70">
        <v>1.196</v>
      </c>
      <c r="O32" s="70">
        <v>1.488</v>
      </c>
      <c r="P32" s="54">
        <f t="shared" si="9"/>
        <v>9.439</v>
      </c>
    </row>
    <row r="33" spans="1:16" ht="38.25">
      <c r="A33" s="65" t="s">
        <v>6</v>
      </c>
      <c r="B33" s="12" t="s">
        <v>54</v>
      </c>
      <c r="C33" s="114">
        <f aca="true" t="shared" si="16" ref="C33:H33">SUM(C34:C40)</f>
        <v>169.766</v>
      </c>
      <c r="D33" s="80">
        <f t="shared" si="16"/>
        <v>9.014</v>
      </c>
      <c r="E33" s="80">
        <f t="shared" si="16"/>
        <v>5.032</v>
      </c>
      <c r="F33" s="80">
        <f t="shared" si="16"/>
        <v>5.221</v>
      </c>
      <c r="G33" s="80">
        <f t="shared" si="16"/>
        <v>4.539</v>
      </c>
      <c r="H33" s="80">
        <f t="shared" si="16"/>
        <v>5.352</v>
      </c>
      <c r="I33" s="80">
        <f aca="true" t="shared" si="17" ref="I33:N33">SUM(I34:I40)</f>
        <v>4.951</v>
      </c>
      <c r="J33" s="80">
        <f t="shared" si="17"/>
        <v>5.462</v>
      </c>
      <c r="K33" s="80">
        <f t="shared" si="17"/>
        <v>4.937</v>
      </c>
      <c r="L33" s="80">
        <f t="shared" si="17"/>
        <v>5.289</v>
      </c>
      <c r="M33" s="80">
        <f t="shared" si="17"/>
        <v>26.646</v>
      </c>
      <c r="N33" s="80">
        <f t="shared" si="17"/>
        <v>4.461</v>
      </c>
      <c r="O33" s="80">
        <f>SUM(O34:O40)</f>
        <v>10.131</v>
      </c>
      <c r="P33" s="54">
        <f t="shared" si="9"/>
        <v>91.035</v>
      </c>
    </row>
    <row r="34" spans="1:16" ht="12.75">
      <c r="A34" s="65" t="s">
        <v>27</v>
      </c>
      <c r="B34" s="20" t="s">
        <v>97</v>
      </c>
      <c r="C34" s="114">
        <v>0.6</v>
      </c>
      <c r="D34" s="78"/>
      <c r="E34" s="78"/>
      <c r="F34" s="88"/>
      <c r="G34" s="88"/>
      <c r="H34" s="88"/>
      <c r="I34" s="88"/>
      <c r="J34" s="88"/>
      <c r="K34" s="159"/>
      <c r="L34" s="159"/>
      <c r="M34" s="159"/>
      <c r="N34" s="159"/>
      <c r="O34" s="159"/>
      <c r="P34" s="54">
        <f t="shared" si="9"/>
        <v>0</v>
      </c>
    </row>
    <row r="35" spans="1:16" ht="12.75">
      <c r="A35" s="65" t="s">
        <v>28</v>
      </c>
      <c r="B35" s="20" t="s">
        <v>96</v>
      </c>
      <c r="C35" s="114">
        <v>7.9</v>
      </c>
      <c r="D35" s="78"/>
      <c r="E35" s="79"/>
      <c r="F35" s="87"/>
      <c r="G35" s="87"/>
      <c r="H35" s="87"/>
      <c r="I35" s="87"/>
      <c r="J35" s="87"/>
      <c r="K35" s="87"/>
      <c r="L35" s="87"/>
      <c r="M35" s="87"/>
      <c r="N35" s="87"/>
      <c r="O35" s="87">
        <v>4.696</v>
      </c>
      <c r="P35" s="54">
        <f t="shared" si="9"/>
        <v>4.696</v>
      </c>
    </row>
    <row r="36" spans="1:16" ht="12.75">
      <c r="A36" s="65" t="s">
        <v>187</v>
      </c>
      <c r="B36" s="16" t="s">
        <v>98</v>
      </c>
      <c r="C36" s="114">
        <v>25.5</v>
      </c>
      <c r="D36" s="78"/>
      <c r="E36" s="78"/>
      <c r="F36" s="88"/>
      <c r="G36" s="88"/>
      <c r="H36" s="88"/>
      <c r="I36" s="88"/>
      <c r="J36" s="88"/>
      <c r="K36" s="159"/>
      <c r="L36" s="159"/>
      <c r="M36" s="159"/>
      <c r="N36" s="159"/>
      <c r="O36" s="159"/>
      <c r="P36" s="54">
        <f t="shared" si="9"/>
        <v>0</v>
      </c>
    </row>
    <row r="37" spans="1:16" ht="12.75">
      <c r="A37" s="65" t="s">
        <v>188</v>
      </c>
      <c r="B37" s="16" t="s">
        <v>99</v>
      </c>
      <c r="C37" s="114">
        <v>3.7</v>
      </c>
      <c r="D37" s="78"/>
      <c r="E37" s="78"/>
      <c r="F37" s="88"/>
      <c r="G37" s="88"/>
      <c r="H37" s="132">
        <v>0.44</v>
      </c>
      <c r="I37" s="132">
        <v>0.565</v>
      </c>
      <c r="J37" s="132"/>
      <c r="K37" s="132"/>
      <c r="L37" s="132">
        <v>0.587</v>
      </c>
      <c r="M37" s="132">
        <f>0.488+0.44</f>
        <v>0.9279999999999999</v>
      </c>
      <c r="N37" s="132"/>
      <c r="O37" s="132"/>
      <c r="P37" s="54">
        <f t="shared" si="9"/>
        <v>2.5199999999999996</v>
      </c>
    </row>
    <row r="38" spans="1:16" ht="12.75">
      <c r="A38" s="65" t="s">
        <v>189</v>
      </c>
      <c r="B38" s="12" t="s">
        <v>106</v>
      </c>
      <c r="C38" s="116">
        <v>66.966</v>
      </c>
      <c r="D38" s="79">
        <v>4.386</v>
      </c>
      <c r="E38" s="79">
        <f>0.388+0.23</f>
        <v>0.618</v>
      </c>
      <c r="F38" s="87">
        <v>0.172</v>
      </c>
      <c r="G38" s="87">
        <v>0.152</v>
      </c>
      <c r="H38" s="87">
        <v>0.209</v>
      </c>
      <c r="I38" s="87"/>
      <c r="J38" s="87"/>
      <c r="K38" s="87">
        <v>0.533</v>
      </c>
      <c r="L38" s="87">
        <f>0.116+0.115</f>
        <v>0.231</v>
      </c>
      <c r="M38" s="87">
        <v>20.792</v>
      </c>
      <c r="N38" s="87"/>
      <c r="O38" s="87"/>
      <c r="P38" s="54">
        <f t="shared" si="9"/>
        <v>27.093000000000004</v>
      </c>
    </row>
    <row r="39" spans="1:16" ht="12.75">
      <c r="A39" s="65" t="s">
        <v>203</v>
      </c>
      <c r="B39" s="12" t="s">
        <v>108</v>
      </c>
      <c r="C39" s="114">
        <v>19.8</v>
      </c>
      <c r="D39" s="79">
        <v>1.465</v>
      </c>
      <c r="E39" s="79">
        <v>1.486</v>
      </c>
      <c r="F39" s="87">
        <v>1.395</v>
      </c>
      <c r="G39" s="87">
        <v>1.145</v>
      </c>
      <c r="H39" s="87">
        <v>1.286</v>
      </c>
      <c r="I39" s="87">
        <v>1.247</v>
      </c>
      <c r="J39" s="87">
        <v>1.944</v>
      </c>
      <c r="K39" s="87">
        <v>1.087</v>
      </c>
      <c r="L39" s="87">
        <v>0.922</v>
      </c>
      <c r="M39" s="87">
        <v>0.962</v>
      </c>
      <c r="N39" s="87">
        <v>0.677</v>
      </c>
      <c r="O39" s="87">
        <v>1.526</v>
      </c>
      <c r="P39" s="54">
        <f t="shared" si="9"/>
        <v>15.142</v>
      </c>
    </row>
    <row r="40" spans="1:16" ht="12.75">
      <c r="A40" s="65" t="s">
        <v>204</v>
      </c>
      <c r="B40" s="12" t="s">
        <v>107</v>
      </c>
      <c r="C40" s="114">
        <v>45.3</v>
      </c>
      <c r="D40" s="79">
        <v>3.163</v>
      </c>
      <c r="E40" s="79">
        <v>2.928</v>
      </c>
      <c r="F40" s="87">
        <v>3.654</v>
      </c>
      <c r="G40" s="87">
        <v>3.242</v>
      </c>
      <c r="H40" s="87">
        <v>3.417</v>
      </c>
      <c r="I40" s="87">
        <v>3.139</v>
      </c>
      <c r="J40" s="87">
        <v>3.518</v>
      </c>
      <c r="K40" s="87">
        <v>3.317</v>
      </c>
      <c r="L40" s="87">
        <v>3.549</v>
      </c>
      <c r="M40" s="87">
        <v>3.964</v>
      </c>
      <c r="N40" s="87">
        <v>3.784</v>
      </c>
      <c r="O40" s="87">
        <v>3.909</v>
      </c>
      <c r="P40" s="54">
        <f t="shared" si="9"/>
        <v>41.583999999999996</v>
      </c>
    </row>
    <row r="41" spans="1:16" ht="25.5">
      <c r="A41" s="65" t="s">
        <v>7</v>
      </c>
      <c r="B41" s="12" t="s">
        <v>58</v>
      </c>
      <c r="C41" s="114">
        <f aca="true" t="shared" si="18" ref="C41:H41">SUM(C42:C43)</f>
        <v>27.7</v>
      </c>
      <c r="D41" s="80">
        <f t="shared" si="18"/>
        <v>0</v>
      </c>
      <c r="E41" s="80">
        <f t="shared" si="18"/>
        <v>0</v>
      </c>
      <c r="F41" s="80">
        <f t="shared" si="18"/>
        <v>0.767</v>
      </c>
      <c r="G41" s="80">
        <f t="shared" si="18"/>
        <v>0</v>
      </c>
      <c r="H41" s="80">
        <f t="shared" si="18"/>
        <v>0</v>
      </c>
      <c r="I41" s="80">
        <f aca="true" t="shared" si="19" ref="I41:N41">SUM(I42:I43)</f>
        <v>0</v>
      </c>
      <c r="J41" s="80">
        <f t="shared" si="19"/>
        <v>0</v>
      </c>
      <c r="K41" s="80">
        <f t="shared" si="19"/>
        <v>0</v>
      </c>
      <c r="L41" s="80">
        <f t="shared" si="19"/>
        <v>0</v>
      </c>
      <c r="M41" s="80">
        <f t="shared" si="19"/>
        <v>4.177</v>
      </c>
      <c r="N41" s="80">
        <f t="shared" si="19"/>
        <v>0</v>
      </c>
      <c r="O41" s="80">
        <f>SUM(O42:O43)</f>
        <v>2.282</v>
      </c>
      <c r="P41" s="54">
        <f t="shared" si="9"/>
        <v>7.226</v>
      </c>
    </row>
    <row r="42" spans="1:16" ht="12.75">
      <c r="A42" s="65" t="s">
        <v>50</v>
      </c>
      <c r="B42" s="12" t="s">
        <v>100</v>
      </c>
      <c r="C42" s="114">
        <v>14</v>
      </c>
      <c r="D42" s="78"/>
      <c r="E42" s="78"/>
      <c r="F42" s="88"/>
      <c r="G42" s="88"/>
      <c r="H42" s="88"/>
      <c r="I42" s="88"/>
      <c r="J42" s="88"/>
      <c r="K42" s="159"/>
      <c r="L42" s="159"/>
      <c r="M42" s="87">
        <v>4.177</v>
      </c>
      <c r="N42" s="87"/>
      <c r="O42" s="87"/>
      <c r="P42" s="54">
        <f t="shared" si="9"/>
        <v>4.177</v>
      </c>
    </row>
    <row r="43" spans="1:16" ht="25.5">
      <c r="A43" s="65" t="s">
        <v>51</v>
      </c>
      <c r="B43" s="12" t="s">
        <v>101</v>
      </c>
      <c r="C43" s="114">
        <v>13.7</v>
      </c>
      <c r="D43" s="78"/>
      <c r="E43" s="78"/>
      <c r="F43" s="87">
        <v>0.767</v>
      </c>
      <c r="G43" s="87"/>
      <c r="H43" s="87"/>
      <c r="I43" s="87"/>
      <c r="J43" s="87"/>
      <c r="K43" s="87"/>
      <c r="L43" s="87"/>
      <c r="M43" s="87"/>
      <c r="N43" s="87"/>
      <c r="O43" s="87">
        <v>2.282</v>
      </c>
      <c r="P43" s="54">
        <f t="shared" si="9"/>
        <v>3.049</v>
      </c>
    </row>
    <row r="44" spans="1:16" ht="25.5">
      <c r="A44" s="65" t="s">
        <v>8</v>
      </c>
      <c r="B44" s="12" t="s">
        <v>205</v>
      </c>
      <c r="C44" s="114">
        <v>104.1</v>
      </c>
      <c r="D44" s="79">
        <v>8.676</v>
      </c>
      <c r="E44" s="79">
        <v>8.676</v>
      </c>
      <c r="F44" s="87">
        <v>8.676</v>
      </c>
      <c r="G44" s="87">
        <v>8.676</v>
      </c>
      <c r="H44" s="87">
        <v>8.676</v>
      </c>
      <c r="I44" s="87">
        <v>12.348</v>
      </c>
      <c r="J44" s="87">
        <v>12.76</v>
      </c>
      <c r="K44" s="87">
        <v>12.76</v>
      </c>
      <c r="L44" s="87">
        <v>12.348</v>
      </c>
      <c r="M44" s="87">
        <v>12.76</v>
      </c>
      <c r="N44" s="87">
        <v>12.348</v>
      </c>
      <c r="O44" s="87">
        <v>12.76</v>
      </c>
      <c r="P44" s="54">
        <f t="shared" si="9"/>
        <v>131.464</v>
      </c>
    </row>
    <row r="45" spans="1:16" ht="25.5">
      <c r="A45" s="65" t="s">
        <v>9</v>
      </c>
      <c r="B45" s="12" t="s">
        <v>86</v>
      </c>
      <c r="C45" s="114">
        <f>SUM(C46:C48)</f>
        <v>89.1</v>
      </c>
      <c r="D45" s="80">
        <f>SUM(D46:D48)</f>
        <v>4.166</v>
      </c>
      <c r="E45" s="80">
        <f>SUM(E46:E48)</f>
        <v>4.968</v>
      </c>
      <c r="F45" s="80">
        <f>SUM(F46:F48)</f>
        <v>5.017</v>
      </c>
      <c r="G45" s="80">
        <f>SUM(G46:G48)</f>
        <v>3.714</v>
      </c>
      <c r="H45" s="80">
        <f aca="true" t="shared" si="20" ref="H45:M45">SUM(H46:H49)</f>
        <v>0.8280000000000001</v>
      </c>
      <c r="I45" s="80">
        <f t="shared" si="20"/>
        <v>5.1209999999999996</v>
      </c>
      <c r="J45" s="80">
        <f t="shared" si="20"/>
        <v>12.142</v>
      </c>
      <c r="K45" s="80">
        <f t="shared" si="20"/>
        <v>0.828</v>
      </c>
      <c r="L45" s="80">
        <f t="shared" si="20"/>
        <v>8.104000000000001</v>
      </c>
      <c r="M45" s="80">
        <f t="shared" si="20"/>
        <v>0.545</v>
      </c>
      <c r="N45" s="80">
        <f>SUM(N46:N49)</f>
        <v>2.122</v>
      </c>
      <c r="O45" s="80">
        <f>SUM(O46:O49)</f>
        <v>7.112</v>
      </c>
      <c r="P45" s="54">
        <f t="shared" si="9"/>
        <v>54.667</v>
      </c>
    </row>
    <row r="46" spans="1:16" ht="12.75">
      <c r="A46" s="65" t="s">
        <v>10</v>
      </c>
      <c r="B46" s="12" t="s">
        <v>109</v>
      </c>
      <c r="C46" s="114">
        <v>11.5</v>
      </c>
      <c r="D46" s="79">
        <v>0.833</v>
      </c>
      <c r="E46" s="79">
        <v>1.25</v>
      </c>
      <c r="F46" s="87">
        <v>1.25</v>
      </c>
      <c r="G46" s="87">
        <v>3.714</v>
      </c>
      <c r="H46" s="10"/>
      <c r="I46" s="10">
        <v>0.502</v>
      </c>
      <c r="J46" s="10"/>
      <c r="K46" s="10"/>
      <c r="L46" s="10">
        <f>1.1+2.5</f>
        <v>3.6</v>
      </c>
      <c r="M46" s="10"/>
      <c r="N46" s="10"/>
      <c r="O46" s="10"/>
      <c r="P46" s="54">
        <f t="shared" si="9"/>
        <v>11.149000000000001</v>
      </c>
    </row>
    <row r="47" spans="1:16" ht="25.5">
      <c r="A47" s="65" t="s">
        <v>55</v>
      </c>
      <c r="B47" s="12" t="s">
        <v>87</v>
      </c>
      <c r="C47" s="114">
        <v>37.6</v>
      </c>
      <c r="D47" s="78"/>
      <c r="E47" s="79">
        <v>0.385</v>
      </c>
      <c r="F47" s="87">
        <v>0.434</v>
      </c>
      <c r="G47" s="87"/>
      <c r="H47" s="87"/>
      <c r="I47" s="87">
        <v>4.619</v>
      </c>
      <c r="J47" s="87">
        <v>12.142</v>
      </c>
      <c r="K47" s="87"/>
      <c r="L47" s="87">
        <v>4.274</v>
      </c>
      <c r="M47" s="87"/>
      <c r="N47" s="87">
        <v>2.122</v>
      </c>
      <c r="O47" s="87">
        <f>2.292+4.82</f>
        <v>7.112</v>
      </c>
      <c r="P47" s="54">
        <f t="shared" si="9"/>
        <v>31.088</v>
      </c>
    </row>
    <row r="48" spans="1:16" ht="12.75">
      <c r="A48" s="65" t="s">
        <v>56</v>
      </c>
      <c r="B48" s="12" t="s">
        <v>88</v>
      </c>
      <c r="C48" s="114">
        <v>40</v>
      </c>
      <c r="D48" s="79">
        <v>3.333</v>
      </c>
      <c r="E48" s="79">
        <v>3.333</v>
      </c>
      <c r="F48" s="87">
        <v>3.333</v>
      </c>
      <c r="G48" s="87"/>
      <c r="H48" s="87"/>
      <c r="I48" s="87"/>
      <c r="J48" s="87"/>
      <c r="K48" s="87"/>
      <c r="L48" s="87"/>
      <c r="M48" s="87"/>
      <c r="N48" s="87"/>
      <c r="O48" s="87"/>
      <c r="P48" s="54">
        <f t="shared" si="9"/>
        <v>9.999</v>
      </c>
    </row>
    <row r="49" spans="1:16" ht="12.75">
      <c r="A49" s="65" t="s">
        <v>57</v>
      </c>
      <c r="B49" s="12" t="s">
        <v>247</v>
      </c>
      <c r="C49" s="114"/>
      <c r="D49" s="79"/>
      <c r="E49" s="79"/>
      <c r="F49" s="87"/>
      <c r="G49" s="87"/>
      <c r="H49" s="87">
        <f>0.18+0.648</f>
        <v>0.8280000000000001</v>
      </c>
      <c r="I49" s="87"/>
      <c r="J49" s="87"/>
      <c r="K49" s="87">
        <v>0.828</v>
      </c>
      <c r="L49" s="87">
        <v>0.23</v>
      </c>
      <c r="M49" s="87">
        <v>0.545</v>
      </c>
      <c r="N49" s="87"/>
      <c r="O49" s="87"/>
      <c r="P49" s="54">
        <f t="shared" si="9"/>
        <v>2.431</v>
      </c>
    </row>
    <row r="50" spans="1:16" ht="12.75">
      <c r="A50" s="65" t="s">
        <v>11</v>
      </c>
      <c r="B50" s="18" t="s">
        <v>89</v>
      </c>
      <c r="C50" s="114">
        <f aca="true" t="shared" si="21" ref="C50:H50">SUM(C51:C52)</f>
        <v>175.5</v>
      </c>
      <c r="D50" s="80">
        <f t="shared" si="21"/>
        <v>0</v>
      </c>
      <c r="E50" s="80">
        <f t="shared" si="21"/>
        <v>13.992</v>
      </c>
      <c r="F50" s="80">
        <f t="shared" si="21"/>
        <v>21.776</v>
      </c>
      <c r="G50" s="80">
        <f t="shared" si="21"/>
        <v>7.57</v>
      </c>
      <c r="H50" s="80">
        <f t="shared" si="21"/>
        <v>3.656</v>
      </c>
      <c r="I50" s="80">
        <f aca="true" t="shared" si="22" ref="I50:N50">SUM(I51:I52)</f>
        <v>23.176000000000002</v>
      </c>
      <c r="J50" s="80">
        <f t="shared" si="22"/>
        <v>7.337</v>
      </c>
      <c r="K50" s="80">
        <f t="shared" si="22"/>
        <v>7.57</v>
      </c>
      <c r="L50" s="80">
        <f t="shared" si="22"/>
        <v>23.907</v>
      </c>
      <c r="M50" s="80">
        <f t="shared" si="22"/>
        <v>4.378</v>
      </c>
      <c r="N50" s="80">
        <f t="shared" si="22"/>
        <v>3.917</v>
      </c>
      <c r="O50" s="80">
        <f>SUM(O51:O52)</f>
        <v>24.893</v>
      </c>
      <c r="P50" s="54">
        <f t="shared" si="9"/>
        <v>142.172</v>
      </c>
    </row>
    <row r="51" spans="1:16" ht="12.75">
      <c r="A51" s="65" t="s">
        <v>12</v>
      </c>
      <c r="B51" s="12" t="s">
        <v>103</v>
      </c>
      <c r="C51" s="114">
        <v>72.7</v>
      </c>
      <c r="D51" s="78"/>
      <c r="E51" s="79">
        <v>13.992</v>
      </c>
      <c r="F51" s="87">
        <v>7.304</v>
      </c>
      <c r="G51" s="87">
        <v>7.57</v>
      </c>
      <c r="H51" s="87">
        <v>3.656</v>
      </c>
      <c r="I51" s="87">
        <v>7.57</v>
      </c>
      <c r="J51" s="87">
        <v>7.337</v>
      </c>
      <c r="K51" s="87">
        <v>7.57</v>
      </c>
      <c r="L51" s="87">
        <v>7.57</v>
      </c>
      <c r="M51" s="87">
        <v>4.378</v>
      </c>
      <c r="N51" s="87">
        <v>3.917</v>
      </c>
      <c r="O51" s="87">
        <v>5.544</v>
      </c>
      <c r="P51" s="54">
        <f t="shared" si="9"/>
        <v>76.408</v>
      </c>
    </row>
    <row r="52" spans="1:16" ht="12.75">
      <c r="A52" s="65" t="s">
        <v>13</v>
      </c>
      <c r="B52" s="12" t="s">
        <v>102</v>
      </c>
      <c r="C52" s="114">
        <v>102.8</v>
      </c>
      <c r="D52" s="78"/>
      <c r="E52" s="78"/>
      <c r="F52" s="87">
        <v>14.472</v>
      </c>
      <c r="G52" s="88"/>
      <c r="H52" s="88"/>
      <c r="I52" s="134">
        <v>15.606</v>
      </c>
      <c r="J52" s="134"/>
      <c r="K52" s="132"/>
      <c r="L52" s="87">
        <v>16.337</v>
      </c>
      <c r="M52" s="87"/>
      <c r="N52" s="87"/>
      <c r="O52" s="87">
        <v>19.349</v>
      </c>
      <c r="P52" s="54">
        <f t="shared" si="9"/>
        <v>65.764</v>
      </c>
    </row>
    <row r="53" spans="1:16" ht="25.5">
      <c r="A53" s="65" t="s">
        <v>59</v>
      </c>
      <c r="B53" s="12" t="s">
        <v>62</v>
      </c>
      <c r="C53" s="114">
        <f>SUM(C54:C56)</f>
        <v>44.6</v>
      </c>
      <c r="D53" s="80">
        <f>SUM(D54:D56)</f>
        <v>1.232</v>
      </c>
      <c r="E53" s="80">
        <f aca="true" t="shared" si="23" ref="E53:J53">SUM(E54:E57)</f>
        <v>3.9509999999999996</v>
      </c>
      <c r="F53" s="80">
        <f t="shared" si="23"/>
        <v>17.776</v>
      </c>
      <c r="G53" s="80">
        <f t="shared" si="23"/>
        <v>1.588</v>
      </c>
      <c r="H53" s="80">
        <f t="shared" si="23"/>
        <v>2.163</v>
      </c>
      <c r="I53" s="80">
        <f t="shared" si="23"/>
        <v>0.607</v>
      </c>
      <c r="J53" s="80">
        <f t="shared" si="23"/>
        <v>1.466</v>
      </c>
      <c r="K53" s="80">
        <f>SUM(K54:K57)</f>
        <v>1.065</v>
      </c>
      <c r="L53" s="80">
        <f>SUM(L54:L57)</f>
        <v>2.529</v>
      </c>
      <c r="M53" s="80">
        <f>SUM(M54:M57)</f>
        <v>1.187</v>
      </c>
      <c r="N53" s="80">
        <v>0.322</v>
      </c>
      <c r="O53" s="80">
        <f>SUM(O54:O57)</f>
        <v>1.991</v>
      </c>
      <c r="P53" s="54">
        <f t="shared" si="9"/>
        <v>35.877</v>
      </c>
    </row>
    <row r="54" spans="1:16" ht="12.75">
      <c r="A54" s="65" t="s">
        <v>60</v>
      </c>
      <c r="B54" s="12" t="s">
        <v>104</v>
      </c>
      <c r="C54" s="114">
        <v>31.7</v>
      </c>
      <c r="D54" s="79">
        <v>1.008</v>
      </c>
      <c r="E54" s="79">
        <v>1.954</v>
      </c>
      <c r="F54" s="87">
        <v>17.502</v>
      </c>
      <c r="G54" s="87">
        <v>1.312</v>
      </c>
      <c r="H54" s="87">
        <v>1.942</v>
      </c>
      <c r="I54" s="87">
        <v>0.32</v>
      </c>
      <c r="J54" s="87">
        <v>1.226</v>
      </c>
      <c r="K54" s="87"/>
      <c r="L54" s="87">
        <v>2.272</v>
      </c>
      <c r="M54" s="87"/>
      <c r="N54" s="87"/>
      <c r="O54" s="87">
        <v>1.602</v>
      </c>
      <c r="P54" s="54">
        <f t="shared" si="9"/>
        <v>29.137999999999998</v>
      </c>
    </row>
    <row r="55" spans="1:16" ht="12.75">
      <c r="A55" s="65" t="s">
        <v>61</v>
      </c>
      <c r="B55" s="12" t="s">
        <v>105</v>
      </c>
      <c r="C55" s="114">
        <v>12.9</v>
      </c>
      <c r="D55" s="78"/>
      <c r="E55" s="78"/>
      <c r="F55" s="88"/>
      <c r="G55" s="88"/>
      <c r="H55" s="88"/>
      <c r="I55" s="134">
        <v>0.062</v>
      </c>
      <c r="J55" s="134"/>
      <c r="K55" s="87">
        <f>0.027+0.8</f>
        <v>0.8270000000000001</v>
      </c>
      <c r="L55" s="87">
        <f>0.023</f>
        <v>0.023</v>
      </c>
      <c r="M55" s="87">
        <f>0.719+0.056</f>
        <v>0.775</v>
      </c>
      <c r="N55" s="87"/>
      <c r="O55" s="87"/>
      <c r="P55" s="54">
        <f t="shared" si="9"/>
        <v>1.687</v>
      </c>
    </row>
    <row r="56" spans="1:16" ht="12.75">
      <c r="A56" s="76" t="s">
        <v>227</v>
      </c>
      <c r="B56" s="77" t="s">
        <v>222</v>
      </c>
      <c r="C56" s="114"/>
      <c r="D56" s="79">
        <v>0.224</v>
      </c>
      <c r="E56" s="79">
        <v>0.245</v>
      </c>
      <c r="F56" s="87">
        <v>0.274</v>
      </c>
      <c r="G56" s="87">
        <v>0.276</v>
      </c>
      <c r="H56" s="87">
        <v>0.221</v>
      </c>
      <c r="I56" s="87">
        <v>0.225</v>
      </c>
      <c r="J56" s="87">
        <v>0.24</v>
      </c>
      <c r="K56" s="160">
        <v>0.238</v>
      </c>
      <c r="L56" s="87">
        <v>0.234</v>
      </c>
      <c r="M56" s="87">
        <f>0.412</f>
        <v>0.412</v>
      </c>
      <c r="N56" s="87">
        <v>0.322</v>
      </c>
      <c r="O56" s="87">
        <v>0.389</v>
      </c>
      <c r="P56" s="54">
        <f t="shared" si="9"/>
        <v>3.3000000000000007</v>
      </c>
    </row>
    <row r="57" spans="1:16" ht="12.75">
      <c r="A57" s="76" t="s">
        <v>225</v>
      </c>
      <c r="B57" s="77" t="s">
        <v>226</v>
      </c>
      <c r="C57" s="114"/>
      <c r="D57" s="79"/>
      <c r="E57" s="79">
        <v>1.752</v>
      </c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54">
        <f t="shared" si="9"/>
        <v>1.752</v>
      </c>
    </row>
    <row r="58" spans="1:16" ht="34.5" customHeight="1">
      <c r="A58" s="101" t="s">
        <v>0</v>
      </c>
      <c r="B58" s="102" t="s">
        <v>63</v>
      </c>
      <c r="C58" s="117" t="s">
        <v>45</v>
      </c>
      <c r="D58" s="103" t="s">
        <v>45</v>
      </c>
      <c r="E58" s="103" t="s">
        <v>45</v>
      </c>
      <c r="F58" s="103" t="s">
        <v>45</v>
      </c>
      <c r="G58" s="103" t="s">
        <v>45</v>
      </c>
      <c r="H58" s="103" t="s">
        <v>45</v>
      </c>
      <c r="I58" s="103" t="s">
        <v>45</v>
      </c>
      <c r="J58" s="103" t="s">
        <v>45</v>
      </c>
      <c r="K58" s="103" t="s">
        <v>45</v>
      </c>
      <c r="L58" s="103" t="s">
        <v>45</v>
      </c>
      <c r="M58" s="103" t="s">
        <v>45</v>
      </c>
      <c r="N58" s="103" t="s">
        <v>45</v>
      </c>
      <c r="O58" s="103" t="s">
        <v>45</v>
      </c>
      <c r="P58" s="169" t="s">
        <v>45</v>
      </c>
    </row>
    <row r="59" spans="1:16" ht="12.75">
      <c r="A59" s="98" t="s">
        <v>16</v>
      </c>
      <c r="B59" s="99">
        <v>3</v>
      </c>
      <c r="C59" s="109">
        <v>3</v>
      </c>
      <c r="D59" s="100">
        <v>1</v>
      </c>
      <c r="E59" s="100">
        <v>2</v>
      </c>
      <c r="F59" s="100">
        <v>3</v>
      </c>
      <c r="G59" s="100">
        <v>4</v>
      </c>
      <c r="H59" s="100">
        <v>5</v>
      </c>
      <c r="I59" s="100">
        <v>6</v>
      </c>
      <c r="J59" s="100">
        <v>7</v>
      </c>
      <c r="K59" s="100">
        <v>8</v>
      </c>
      <c r="L59" s="164">
        <v>9</v>
      </c>
      <c r="M59" s="164">
        <v>10</v>
      </c>
      <c r="N59" s="164">
        <v>11</v>
      </c>
      <c r="O59" s="164">
        <v>12</v>
      </c>
      <c r="P59" s="168">
        <v>6</v>
      </c>
    </row>
    <row r="60" spans="1:16" ht="25.5">
      <c r="A60" s="11"/>
      <c r="B60" s="12" t="s">
        <v>64</v>
      </c>
      <c r="C60" s="114">
        <f aca="true" t="shared" si="24" ref="C60:H60">C61+C62+C63+C64+C65+C66+C67+C70+C71+C72+C76+C77</f>
        <v>563.436</v>
      </c>
      <c r="D60" s="80">
        <f t="shared" si="24"/>
        <v>31.137000000000004</v>
      </c>
      <c r="E60" s="81">
        <f t="shared" si="24"/>
        <v>30.707000000000008</v>
      </c>
      <c r="F60" s="81">
        <f t="shared" si="24"/>
        <v>37.161</v>
      </c>
      <c r="G60" s="81">
        <f t="shared" si="24"/>
        <v>37.909</v>
      </c>
      <c r="H60" s="133">
        <f t="shared" si="24"/>
        <v>42.233000000000004</v>
      </c>
      <c r="I60" s="133">
        <f aca="true" t="shared" si="25" ref="I60:N60">I61+I62+I63+I64+I65+I66+I67+I70+I71+I72+I76+I77</f>
        <v>34.854</v>
      </c>
      <c r="J60" s="133">
        <f t="shared" si="25"/>
        <v>39.753</v>
      </c>
      <c r="K60" s="133">
        <f t="shared" si="25"/>
        <v>40.552</v>
      </c>
      <c r="L60" s="133">
        <f t="shared" si="25"/>
        <v>42.629</v>
      </c>
      <c r="M60" s="133">
        <f t="shared" si="25"/>
        <v>43.46000000000001</v>
      </c>
      <c r="N60" s="133">
        <f t="shared" si="25"/>
        <v>40.708000000000006</v>
      </c>
      <c r="O60" s="133">
        <f>O61+O62+O63+O64+O65+O66+O67+O70+O71+O72+O76+O77</f>
        <v>42.970000000000006</v>
      </c>
      <c r="P60" s="54">
        <f aca="true" t="shared" si="26" ref="P60:P77">SUM(D60:O60)</f>
        <v>464.07300000000015</v>
      </c>
    </row>
    <row r="61" spans="1:16" ht="25.5">
      <c r="A61" s="13" t="s">
        <v>16</v>
      </c>
      <c r="B61" s="12" t="s">
        <v>79</v>
      </c>
      <c r="C61" s="114">
        <v>334.392</v>
      </c>
      <c r="D61" s="135">
        <v>15.68</v>
      </c>
      <c r="E61" s="70">
        <v>16.909</v>
      </c>
      <c r="F61" s="70">
        <v>20.688</v>
      </c>
      <c r="G61" s="209">
        <v>19.166</v>
      </c>
      <c r="H61" s="70">
        <v>24.132</v>
      </c>
      <c r="I61" s="70">
        <v>19.906</v>
      </c>
      <c r="J61" s="70">
        <v>22.844</v>
      </c>
      <c r="K61" s="70">
        <v>23.137</v>
      </c>
      <c r="L61" s="70">
        <v>23.762</v>
      </c>
      <c r="M61" s="70">
        <v>23.68</v>
      </c>
      <c r="N61" s="70">
        <v>23.623</v>
      </c>
      <c r="O61" s="70">
        <v>23.215</v>
      </c>
      <c r="P61" s="54">
        <f t="shared" si="26"/>
        <v>256.74199999999996</v>
      </c>
    </row>
    <row r="62" spans="1:16" ht="25.5">
      <c r="A62" s="13" t="s">
        <v>23</v>
      </c>
      <c r="B62" s="12" t="s">
        <v>65</v>
      </c>
      <c r="C62" s="114">
        <v>123.458</v>
      </c>
      <c r="D62" s="135">
        <v>5.789</v>
      </c>
      <c r="E62" s="70">
        <v>6.243</v>
      </c>
      <c r="F62" s="70">
        <v>7.63</v>
      </c>
      <c r="G62" s="209">
        <v>7.076</v>
      </c>
      <c r="H62" s="70">
        <v>8.628</v>
      </c>
      <c r="I62" s="70">
        <v>7.068</v>
      </c>
      <c r="J62" s="70">
        <v>8.153</v>
      </c>
      <c r="K62" s="70">
        <v>8.199</v>
      </c>
      <c r="L62" s="70">
        <v>8.669</v>
      </c>
      <c r="M62" s="70">
        <v>8.439</v>
      </c>
      <c r="N62" s="70">
        <v>8.404</v>
      </c>
      <c r="O62" s="70">
        <v>8.253</v>
      </c>
      <c r="P62" s="54">
        <f t="shared" si="26"/>
        <v>92.551</v>
      </c>
    </row>
    <row r="63" spans="1:16" ht="12.75">
      <c r="A63" s="13" t="s">
        <v>5</v>
      </c>
      <c r="B63" s="12" t="s">
        <v>80</v>
      </c>
      <c r="C63" s="114">
        <v>5.3</v>
      </c>
      <c r="D63" s="135">
        <v>2.24</v>
      </c>
      <c r="E63" s="70">
        <v>0.05</v>
      </c>
      <c r="F63" s="70">
        <v>3.24</v>
      </c>
      <c r="G63" s="209">
        <v>1.74</v>
      </c>
      <c r="H63" s="70">
        <v>0.05</v>
      </c>
      <c r="I63" s="70">
        <v>0.432</v>
      </c>
      <c r="J63" s="70">
        <v>0.1</v>
      </c>
      <c r="K63" s="70">
        <v>0.1</v>
      </c>
      <c r="L63" s="70"/>
      <c r="M63" s="70"/>
      <c r="N63" s="70"/>
      <c r="O63" s="70">
        <v>0.482</v>
      </c>
      <c r="P63" s="54">
        <f t="shared" si="26"/>
        <v>8.434</v>
      </c>
    </row>
    <row r="64" spans="1:16" ht="12.75">
      <c r="A64" s="65" t="s">
        <v>24</v>
      </c>
      <c r="B64" s="12" t="s">
        <v>81</v>
      </c>
      <c r="C64" s="114">
        <v>8.8</v>
      </c>
      <c r="D64" s="135">
        <v>0</v>
      </c>
      <c r="E64" s="70"/>
      <c r="F64" s="70">
        <v>1</v>
      </c>
      <c r="G64" s="209">
        <v>1.525</v>
      </c>
      <c r="H64" s="70">
        <v>0.125</v>
      </c>
      <c r="I64" s="70">
        <v>1.137</v>
      </c>
      <c r="J64" s="87">
        <f>0.2+0.35</f>
        <v>0.55</v>
      </c>
      <c r="K64" s="70"/>
      <c r="L64" s="70">
        <v>0.21</v>
      </c>
      <c r="M64" s="70">
        <v>3.129</v>
      </c>
      <c r="N64" s="70">
        <v>0.6</v>
      </c>
      <c r="O64" s="70"/>
      <c r="P64" s="54">
        <f t="shared" si="26"/>
        <v>8.276</v>
      </c>
    </row>
    <row r="65" spans="1:16" ht="25.5">
      <c r="A65" s="65" t="s">
        <v>25</v>
      </c>
      <c r="B65" s="12" t="s">
        <v>66</v>
      </c>
      <c r="C65" s="114">
        <v>3</v>
      </c>
      <c r="D65" s="70">
        <v>0</v>
      </c>
      <c r="E65" s="70"/>
      <c r="F65" s="70">
        <v>0.825</v>
      </c>
      <c r="G65" s="70"/>
      <c r="H65" s="70"/>
      <c r="I65" s="70"/>
      <c r="J65" s="70"/>
      <c r="K65" s="70"/>
      <c r="L65" s="70">
        <v>1.262</v>
      </c>
      <c r="M65" s="70"/>
      <c r="N65" s="70"/>
      <c r="O65" s="70">
        <v>2.175</v>
      </c>
      <c r="P65" s="54">
        <f t="shared" si="26"/>
        <v>4.262</v>
      </c>
    </row>
    <row r="66" spans="1:16" ht="51">
      <c r="A66" s="65" t="s">
        <v>26</v>
      </c>
      <c r="B66" s="12" t="s">
        <v>67</v>
      </c>
      <c r="C66" s="115">
        <v>9.2</v>
      </c>
      <c r="D66" s="70">
        <v>0.959</v>
      </c>
      <c r="E66" s="70">
        <v>0.959</v>
      </c>
      <c r="F66" s="70">
        <v>0.959</v>
      </c>
      <c r="G66" s="209">
        <v>0.959</v>
      </c>
      <c r="H66" s="70">
        <v>0.801</v>
      </c>
      <c r="I66" s="70">
        <v>0.886</v>
      </c>
      <c r="J66" s="70">
        <v>0.886</v>
      </c>
      <c r="K66" s="70">
        <v>0.886</v>
      </c>
      <c r="L66" s="70">
        <v>0.886</v>
      </c>
      <c r="M66" s="70">
        <v>0.886</v>
      </c>
      <c r="N66" s="70">
        <v>0.886</v>
      </c>
      <c r="O66" s="70">
        <v>0.886</v>
      </c>
      <c r="P66" s="54">
        <f t="shared" si="26"/>
        <v>10.838999999999997</v>
      </c>
    </row>
    <row r="67" spans="1:16" ht="38.25">
      <c r="A67" s="65" t="s">
        <v>6</v>
      </c>
      <c r="B67" s="12" t="s">
        <v>68</v>
      </c>
      <c r="C67" s="115">
        <f aca="true" t="shared" si="27" ref="C67:H67">SUM(C68:C69)</f>
        <v>11.5</v>
      </c>
      <c r="D67" s="64">
        <f t="shared" si="27"/>
        <v>0.838</v>
      </c>
      <c r="E67" s="64">
        <f t="shared" si="27"/>
        <v>0.838</v>
      </c>
      <c r="F67" s="64">
        <f t="shared" si="27"/>
        <v>0.877</v>
      </c>
      <c r="G67" s="64">
        <f t="shared" si="27"/>
        <v>0</v>
      </c>
      <c r="H67" s="64">
        <f t="shared" si="27"/>
        <v>0</v>
      </c>
      <c r="I67" s="64">
        <f aca="true" t="shared" si="28" ref="I67:N67">SUM(I68:I69)</f>
        <v>0</v>
      </c>
      <c r="J67" s="64">
        <f t="shared" si="28"/>
        <v>0</v>
      </c>
      <c r="K67" s="81">
        <f t="shared" si="28"/>
        <v>0</v>
      </c>
      <c r="L67" s="81">
        <f t="shared" si="28"/>
        <v>0</v>
      </c>
      <c r="M67" s="81">
        <f t="shared" si="28"/>
        <v>0</v>
      </c>
      <c r="N67" s="81">
        <f t="shared" si="28"/>
        <v>0</v>
      </c>
      <c r="O67" s="81">
        <f>SUM(O68:O69)</f>
        <v>0</v>
      </c>
      <c r="P67" s="54">
        <f t="shared" si="26"/>
        <v>2.553</v>
      </c>
    </row>
    <row r="68" spans="1:16" ht="12.75">
      <c r="A68" s="65" t="s">
        <v>27</v>
      </c>
      <c r="B68" s="18" t="s">
        <v>90</v>
      </c>
      <c r="C68" s="114">
        <v>2.8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54">
        <f t="shared" si="26"/>
        <v>0</v>
      </c>
    </row>
    <row r="69" spans="1:16" ht="25.5">
      <c r="A69" s="65" t="s">
        <v>28</v>
      </c>
      <c r="B69" s="12" t="s">
        <v>191</v>
      </c>
      <c r="C69" s="114">
        <v>8.7</v>
      </c>
      <c r="D69" s="70">
        <v>0.838</v>
      </c>
      <c r="E69" s="70">
        <v>0.838</v>
      </c>
      <c r="F69" s="70">
        <v>0.877</v>
      </c>
      <c r="G69" s="70"/>
      <c r="H69" s="70"/>
      <c r="I69" s="70"/>
      <c r="J69" s="70"/>
      <c r="K69" s="70"/>
      <c r="L69" s="70"/>
      <c r="M69" s="70"/>
      <c r="N69" s="70"/>
      <c r="O69" s="70"/>
      <c r="P69" s="54">
        <f t="shared" si="26"/>
        <v>2.553</v>
      </c>
    </row>
    <row r="70" spans="1:16" ht="19.5" customHeight="1">
      <c r="A70" s="65" t="s">
        <v>7</v>
      </c>
      <c r="B70" s="12" t="s">
        <v>192</v>
      </c>
      <c r="C70" s="114">
        <v>2.2</v>
      </c>
      <c r="D70" s="70">
        <v>0.234</v>
      </c>
      <c r="E70" s="70">
        <v>0.257</v>
      </c>
      <c r="F70" s="70">
        <v>0.242</v>
      </c>
      <c r="G70" s="209">
        <v>0.148</v>
      </c>
      <c r="H70" s="70">
        <v>0.162</v>
      </c>
      <c r="I70" s="70">
        <v>0.164</v>
      </c>
      <c r="J70" s="70">
        <v>0.197</v>
      </c>
      <c r="K70" s="70">
        <v>0.165</v>
      </c>
      <c r="L70" s="70">
        <v>0.161</v>
      </c>
      <c r="M70" s="70">
        <v>0.195</v>
      </c>
      <c r="N70" s="70">
        <v>0.195</v>
      </c>
      <c r="O70" s="70">
        <v>0.212</v>
      </c>
      <c r="P70" s="54">
        <f t="shared" si="26"/>
        <v>2.3320000000000003</v>
      </c>
    </row>
    <row r="71" spans="1:16" ht="25.5">
      <c r="A71" s="65" t="s">
        <v>8</v>
      </c>
      <c r="B71" s="12" t="s">
        <v>193</v>
      </c>
      <c r="C71" s="114">
        <v>17.1</v>
      </c>
      <c r="D71" s="70">
        <v>1.714</v>
      </c>
      <c r="E71" s="70">
        <v>1.6</v>
      </c>
      <c r="F71" s="70">
        <v>1.611</v>
      </c>
      <c r="G71" s="209">
        <v>1.932</v>
      </c>
      <c r="H71" s="70">
        <f>1.373+0.015</f>
        <v>1.388</v>
      </c>
      <c r="I71" s="70">
        <f>1.422+0.015</f>
        <v>1.4369999999999998</v>
      </c>
      <c r="J71" s="70">
        <v>1.479</v>
      </c>
      <c r="K71" s="70">
        <v>1.44</v>
      </c>
      <c r="L71" s="70">
        <f>1.256+0.08</f>
        <v>1.336</v>
      </c>
      <c r="M71" s="70">
        <f>1.386+0.08</f>
        <v>1.466</v>
      </c>
      <c r="N71" s="70">
        <v>1.423</v>
      </c>
      <c r="O71" s="70">
        <f>1.398+0.08</f>
        <v>1.478</v>
      </c>
      <c r="P71" s="54">
        <f t="shared" si="26"/>
        <v>18.304</v>
      </c>
    </row>
    <row r="72" spans="1:16" ht="25.5">
      <c r="A72" s="65" t="s">
        <v>9</v>
      </c>
      <c r="B72" s="12" t="s">
        <v>69</v>
      </c>
      <c r="C72" s="115">
        <f aca="true" t="shared" si="29" ref="C72:H72">SUM(C73:C75)</f>
        <v>45.4</v>
      </c>
      <c r="D72" s="64">
        <f t="shared" si="29"/>
        <v>3.666</v>
      </c>
      <c r="E72" s="64">
        <f t="shared" si="29"/>
        <v>3.53</v>
      </c>
      <c r="F72" s="64">
        <f t="shared" si="29"/>
        <v>0</v>
      </c>
      <c r="G72" s="210">
        <f t="shared" si="29"/>
        <v>4.792</v>
      </c>
      <c r="H72" s="64">
        <f t="shared" si="29"/>
        <v>1.842</v>
      </c>
      <c r="I72" s="64">
        <f aca="true" t="shared" si="30" ref="I72:N72">SUM(I73:I75)</f>
        <v>3.493</v>
      </c>
      <c r="J72" s="64">
        <f t="shared" si="30"/>
        <v>3.8</v>
      </c>
      <c r="K72" s="81">
        <f t="shared" si="30"/>
        <v>4.85</v>
      </c>
      <c r="L72" s="81">
        <f t="shared" si="30"/>
        <v>4.058</v>
      </c>
      <c r="M72" s="81">
        <f t="shared" si="30"/>
        <v>3.703</v>
      </c>
      <c r="N72" s="81">
        <f t="shared" si="30"/>
        <v>3.75</v>
      </c>
      <c r="O72" s="81">
        <f>SUM(O73:O75)</f>
        <v>3.763</v>
      </c>
      <c r="P72" s="54">
        <f t="shared" si="26"/>
        <v>41.247</v>
      </c>
    </row>
    <row r="73" spans="1:16" ht="12.75">
      <c r="A73" s="65" t="s">
        <v>10</v>
      </c>
      <c r="B73" s="12" t="s">
        <v>84</v>
      </c>
      <c r="C73" s="115">
        <v>45.1</v>
      </c>
      <c r="D73" s="70">
        <v>3.666</v>
      </c>
      <c r="E73" s="70">
        <v>3.155</v>
      </c>
      <c r="F73" s="70"/>
      <c r="G73" s="209">
        <v>4.792</v>
      </c>
      <c r="H73" s="70">
        <v>1.742</v>
      </c>
      <c r="I73" s="70">
        <v>3.093</v>
      </c>
      <c r="J73" s="70">
        <v>3.8</v>
      </c>
      <c r="K73" s="70">
        <v>4.21</v>
      </c>
      <c r="L73" s="70">
        <v>4.058</v>
      </c>
      <c r="M73" s="70">
        <v>3.613</v>
      </c>
      <c r="N73" s="70">
        <v>3.75</v>
      </c>
      <c r="O73" s="70">
        <v>3.75</v>
      </c>
      <c r="P73" s="54">
        <f t="shared" si="26"/>
        <v>39.629000000000005</v>
      </c>
    </row>
    <row r="74" spans="1:16" ht="18" customHeight="1">
      <c r="A74" s="65" t="s">
        <v>55</v>
      </c>
      <c r="B74" s="12" t="s">
        <v>85</v>
      </c>
      <c r="C74" s="115">
        <v>0</v>
      </c>
      <c r="D74" s="70">
        <v>0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54">
        <f t="shared" si="26"/>
        <v>0</v>
      </c>
    </row>
    <row r="75" spans="1:16" ht="12.75">
      <c r="A75" s="65" t="s">
        <v>56</v>
      </c>
      <c r="B75" s="12" t="s">
        <v>94</v>
      </c>
      <c r="C75" s="115">
        <v>0.3</v>
      </c>
      <c r="D75" s="70">
        <v>0</v>
      </c>
      <c r="E75" s="70">
        <v>0.375</v>
      </c>
      <c r="F75" s="70"/>
      <c r="G75" s="70"/>
      <c r="H75" s="70">
        <v>0.1</v>
      </c>
      <c r="I75" s="70">
        <v>0.4</v>
      </c>
      <c r="J75" s="70"/>
      <c r="K75" s="70">
        <v>0.64</v>
      </c>
      <c r="L75" s="70"/>
      <c r="M75" s="70">
        <v>0.09</v>
      </c>
      <c r="N75" s="70"/>
      <c r="O75" s="70">
        <v>0.013</v>
      </c>
      <c r="P75" s="54">
        <f t="shared" si="26"/>
        <v>1.618</v>
      </c>
    </row>
    <row r="76" spans="1:16" ht="33" customHeight="1">
      <c r="A76" s="65" t="s">
        <v>11</v>
      </c>
      <c r="B76" s="12" t="s">
        <v>194</v>
      </c>
      <c r="C76" s="116">
        <v>3.086</v>
      </c>
      <c r="D76" s="70">
        <v>0</v>
      </c>
      <c r="E76" s="70"/>
      <c r="F76" s="70"/>
      <c r="G76" s="70"/>
      <c r="H76" s="70"/>
      <c r="I76" s="70"/>
      <c r="J76" s="70">
        <v>1.5</v>
      </c>
      <c r="K76" s="70">
        <v>1.5</v>
      </c>
      <c r="L76" s="70">
        <f>0.48+1.5</f>
        <v>1.98</v>
      </c>
      <c r="M76" s="70">
        <v>1.5</v>
      </c>
      <c r="N76" s="70">
        <v>1.5</v>
      </c>
      <c r="O76" s="70">
        <f>1.5</f>
        <v>1.5</v>
      </c>
      <c r="P76" s="54">
        <f t="shared" si="26"/>
        <v>9.48</v>
      </c>
    </row>
    <row r="77" spans="1:16" ht="33" customHeight="1">
      <c r="A77" s="76" t="s">
        <v>59</v>
      </c>
      <c r="B77" s="77" t="s">
        <v>219</v>
      </c>
      <c r="C77" s="118">
        <v>0</v>
      </c>
      <c r="D77" s="70">
        <v>0.017</v>
      </c>
      <c r="E77" s="70">
        <f>0.252+0.069</f>
        <v>0.321</v>
      </c>
      <c r="F77" s="70">
        <v>0.089</v>
      </c>
      <c r="G77" s="87">
        <f>0.571</f>
        <v>0.571</v>
      </c>
      <c r="H77" s="70">
        <f>0.105+5</f>
        <v>5.105</v>
      </c>
      <c r="I77" s="70">
        <f>0.056+0.275</f>
        <v>0.331</v>
      </c>
      <c r="J77" s="70">
        <f>0.08+0.164</f>
        <v>0.244</v>
      </c>
      <c r="K77" s="70">
        <f>0.015+0.095+0.165</f>
        <v>0.275</v>
      </c>
      <c r="L77" s="70">
        <f>0.14+0.165</f>
        <v>0.30500000000000005</v>
      </c>
      <c r="M77" s="70">
        <f>0.043+0.254+0.165</f>
        <v>0.46199999999999997</v>
      </c>
      <c r="N77" s="70">
        <v>0.327</v>
      </c>
      <c r="O77" s="70">
        <f>0.165+0.016+0.825</f>
        <v>1.006</v>
      </c>
      <c r="P77" s="54">
        <f t="shared" si="26"/>
        <v>9.053</v>
      </c>
    </row>
    <row r="78" spans="1:16" ht="35.25" customHeight="1">
      <c r="A78" s="104" t="s">
        <v>0</v>
      </c>
      <c r="B78" s="105" t="s">
        <v>95</v>
      </c>
      <c r="C78" s="108" t="s">
        <v>45</v>
      </c>
      <c r="D78" s="96" t="s">
        <v>45</v>
      </c>
      <c r="E78" s="96" t="s">
        <v>45</v>
      </c>
      <c r="F78" s="96" t="s">
        <v>45</v>
      </c>
      <c r="G78" s="96" t="s">
        <v>45</v>
      </c>
      <c r="H78" s="96" t="s">
        <v>45</v>
      </c>
      <c r="I78" s="96" t="s">
        <v>45</v>
      </c>
      <c r="J78" s="96" t="s">
        <v>45</v>
      </c>
      <c r="K78" s="96" t="s">
        <v>45</v>
      </c>
      <c r="L78" s="96" t="s">
        <v>45</v>
      </c>
      <c r="M78" s="96" t="s">
        <v>45</v>
      </c>
      <c r="N78" s="96" t="s">
        <v>45</v>
      </c>
      <c r="O78" s="96" t="s">
        <v>45</v>
      </c>
      <c r="P78" s="170" t="s">
        <v>45</v>
      </c>
    </row>
    <row r="79" spans="1:16" ht="12.75">
      <c r="A79" s="98" t="s">
        <v>16</v>
      </c>
      <c r="B79" s="99">
        <v>4</v>
      </c>
      <c r="C79" s="109">
        <v>3</v>
      </c>
      <c r="D79" s="100">
        <v>1</v>
      </c>
      <c r="E79" s="100">
        <v>2</v>
      </c>
      <c r="F79" s="100">
        <v>3</v>
      </c>
      <c r="G79" s="100">
        <v>4</v>
      </c>
      <c r="H79" s="100">
        <v>5</v>
      </c>
      <c r="I79" s="100">
        <v>6</v>
      </c>
      <c r="J79" s="100">
        <v>7</v>
      </c>
      <c r="K79" s="100">
        <v>8</v>
      </c>
      <c r="L79" s="100">
        <v>9</v>
      </c>
      <c r="M79" s="100">
        <v>10</v>
      </c>
      <c r="N79" s="100">
        <v>11</v>
      </c>
      <c r="O79" s="100">
        <v>12</v>
      </c>
      <c r="P79" s="168">
        <v>6</v>
      </c>
    </row>
    <row r="80" spans="1:16" ht="33.75" customHeight="1">
      <c r="A80" s="11"/>
      <c r="B80" s="12" t="s">
        <v>70</v>
      </c>
      <c r="C80" s="119">
        <v>0</v>
      </c>
      <c r="D80" s="70">
        <f aca="true" t="shared" si="31" ref="D80:I80">SUM(D81:D85)</f>
        <v>22.746000000000002</v>
      </c>
      <c r="E80" s="70">
        <f t="shared" si="31"/>
        <v>25.659</v>
      </c>
      <c r="F80" s="70">
        <f t="shared" si="31"/>
        <v>27.105</v>
      </c>
      <c r="G80" s="70">
        <f t="shared" si="31"/>
        <v>21.507</v>
      </c>
      <c r="H80" s="70">
        <f t="shared" si="31"/>
        <v>0</v>
      </c>
      <c r="I80" s="70">
        <f t="shared" si="31"/>
        <v>0</v>
      </c>
      <c r="J80" s="70">
        <f aca="true" t="shared" si="32" ref="J80:P80">SUM(J81:J85)</f>
        <v>0</v>
      </c>
      <c r="K80" s="70">
        <f t="shared" si="32"/>
        <v>0</v>
      </c>
      <c r="L80" s="70">
        <f t="shared" si="32"/>
        <v>0</v>
      </c>
      <c r="M80" s="70">
        <f t="shared" si="32"/>
        <v>0</v>
      </c>
      <c r="N80" s="70">
        <f t="shared" si="32"/>
        <v>0</v>
      </c>
      <c r="O80" s="70">
        <f>SUM(O81:O85)</f>
        <v>0</v>
      </c>
      <c r="P80" s="171">
        <f t="shared" si="32"/>
        <v>0</v>
      </c>
    </row>
    <row r="81" spans="1:16" ht="33.75" customHeight="1">
      <c r="A81" s="65" t="s">
        <v>16</v>
      </c>
      <c r="B81" s="12" t="s">
        <v>193</v>
      </c>
      <c r="C81" s="119"/>
      <c r="D81" s="70">
        <v>6.058</v>
      </c>
      <c r="E81" s="70">
        <v>7.232</v>
      </c>
      <c r="F81" s="70">
        <v>7.955</v>
      </c>
      <c r="G81" s="70">
        <v>7.057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171">
        <v>0</v>
      </c>
    </row>
    <row r="82" spans="1:16" ht="33.75" customHeight="1">
      <c r="A82" s="65" t="s">
        <v>23</v>
      </c>
      <c r="B82" s="12" t="s">
        <v>80</v>
      </c>
      <c r="C82" s="119"/>
      <c r="D82" s="70">
        <v>0.05</v>
      </c>
      <c r="E82" s="70">
        <v>0.05</v>
      </c>
      <c r="F82" s="70">
        <v>0.05</v>
      </c>
      <c r="G82" s="70">
        <v>0.05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171">
        <v>0</v>
      </c>
    </row>
    <row r="83" spans="1:16" ht="33.75" customHeight="1">
      <c r="A83" s="65" t="s">
        <v>5</v>
      </c>
      <c r="B83" s="12" t="s">
        <v>220</v>
      </c>
      <c r="C83" s="119"/>
      <c r="D83" s="70">
        <v>12.329</v>
      </c>
      <c r="E83" s="70">
        <v>13.6</v>
      </c>
      <c r="F83" s="70">
        <v>14.159</v>
      </c>
      <c r="G83" s="70">
        <v>10.736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171">
        <v>0</v>
      </c>
    </row>
    <row r="84" spans="1:16" ht="33.75" customHeight="1">
      <c r="A84" s="65" t="s">
        <v>24</v>
      </c>
      <c r="B84" s="12" t="s">
        <v>65</v>
      </c>
      <c r="C84" s="119"/>
      <c r="D84" s="70">
        <v>4.28</v>
      </c>
      <c r="E84" s="70">
        <v>4.742</v>
      </c>
      <c r="F84" s="70">
        <v>4.941</v>
      </c>
      <c r="G84" s="70">
        <v>3.664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171">
        <v>0</v>
      </c>
    </row>
    <row r="85" spans="1:16" ht="33.75" customHeight="1">
      <c r="A85" s="65" t="s">
        <v>25</v>
      </c>
      <c r="B85" s="12" t="s">
        <v>219</v>
      </c>
      <c r="C85" s="119"/>
      <c r="D85" s="70">
        <v>0.029</v>
      </c>
      <c r="E85" s="70">
        <v>0.035</v>
      </c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172"/>
    </row>
    <row r="86" spans="1:16" ht="12.75">
      <c r="A86" s="279" t="s">
        <v>213</v>
      </c>
      <c r="B86" s="279"/>
      <c r="C86" s="110">
        <f aca="true" t="shared" si="33" ref="C86:H86">C3+C16+C60+C80</f>
        <v>7766.673999999999</v>
      </c>
      <c r="D86" s="82">
        <f t="shared" si="33"/>
        <v>661.469</v>
      </c>
      <c r="E86" s="82">
        <f t="shared" si="33"/>
        <v>573.616</v>
      </c>
      <c r="F86" s="82">
        <f t="shared" si="33"/>
        <v>629.4190000000001</v>
      </c>
      <c r="G86" s="82">
        <f t="shared" si="33"/>
        <v>607.661</v>
      </c>
      <c r="H86" s="82">
        <f t="shared" si="33"/>
        <v>645.5920000000001</v>
      </c>
      <c r="I86" s="82">
        <f aca="true" t="shared" si="34" ref="I86:N86">I3+I16+I60+I80</f>
        <v>591.3330000000001</v>
      </c>
      <c r="J86" s="82">
        <f t="shared" si="34"/>
        <v>650.118</v>
      </c>
      <c r="K86" s="82">
        <f t="shared" si="34"/>
        <v>604.7990000000001</v>
      </c>
      <c r="L86" s="82">
        <f t="shared" si="34"/>
        <v>653.966</v>
      </c>
      <c r="M86" s="82">
        <f t="shared" si="34"/>
        <v>702.2049999999999</v>
      </c>
      <c r="N86" s="82">
        <f t="shared" si="34"/>
        <v>767.728</v>
      </c>
      <c r="O86" s="82">
        <f>O3+O16+O60+O80</f>
        <v>578.167</v>
      </c>
      <c r="P86" s="54">
        <f>SUM(D86:O86)</f>
        <v>7666.073000000001</v>
      </c>
    </row>
    <row r="87" spans="1:16" ht="12.75">
      <c r="A87" s="280" t="s">
        <v>214</v>
      </c>
      <c r="B87" s="281"/>
      <c r="C87" s="120">
        <v>808.2</v>
      </c>
      <c r="D87" s="83">
        <v>47.581</v>
      </c>
      <c r="E87" s="82">
        <v>53.81</v>
      </c>
      <c r="F87" s="82">
        <v>57.606</v>
      </c>
      <c r="G87" s="82">
        <v>55.749</v>
      </c>
      <c r="H87" s="82">
        <v>47.457</v>
      </c>
      <c r="I87" s="82">
        <v>50.34</v>
      </c>
      <c r="J87" s="82">
        <v>45.646</v>
      </c>
      <c r="K87" s="82">
        <v>57.733</v>
      </c>
      <c r="L87" s="82">
        <v>59.837</v>
      </c>
      <c r="M87" s="82">
        <v>57.729</v>
      </c>
      <c r="N87" s="82">
        <v>51.472</v>
      </c>
      <c r="O87" s="82">
        <v>53.717</v>
      </c>
      <c r="P87" s="54">
        <f>SUM(D87:O87)</f>
        <v>638.677</v>
      </c>
    </row>
    <row r="88" spans="1:16" ht="27" customHeight="1">
      <c r="A88" s="280" t="s">
        <v>224</v>
      </c>
      <c r="B88" s="281"/>
      <c r="C88" s="121">
        <f aca="true" t="shared" si="35" ref="C88:I88">C86/C87</f>
        <v>9.609841623360552</v>
      </c>
      <c r="D88" s="84">
        <f t="shared" si="35"/>
        <v>13.901956663374037</v>
      </c>
      <c r="E88" s="84">
        <f t="shared" si="35"/>
        <v>10.660026017468871</v>
      </c>
      <c r="F88" s="84">
        <f t="shared" si="35"/>
        <v>10.926275040794364</v>
      </c>
      <c r="G88" s="84">
        <f t="shared" si="35"/>
        <v>10.899944393621409</v>
      </c>
      <c r="H88" s="84">
        <f t="shared" si="35"/>
        <v>13.603725477800959</v>
      </c>
      <c r="I88" s="84">
        <f t="shared" si="35"/>
        <v>11.746781883194279</v>
      </c>
      <c r="J88" s="84">
        <f aca="true" t="shared" si="36" ref="J88:P88">J86/J87</f>
        <v>14.242606142925997</v>
      </c>
      <c r="K88" s="84">
        <f t="shared" si="36"/>
        <v>10.475793740148617</v>
      </c>
      <c r="L88" s="84">
        <f t="shared" si="36"/>
        <v>10.929124120527433</v>
      </c>
      <c r="M88" s="84">
        <f t="shared" si="36"/>
        <v>12.163817145628713</v>
      </c>
      <c r="N88" s="84">
        <f t="shared" si="36"/>
        <v>14.915449176251164</v>
      </c>
      <c r="O88" s="84">
        <f>O86/O87</f>
        <v>10.763203455144554</v>
      </c>
      <c r="P88" s="84">
        <f t="shared" si="36"/>
        <v>12.003051620772316</v>
      </c>
    </row>
  </sheetData>
  <sheetProtection/>
  <mergeCells count="3">
    <mergeCell ref="A86:B86"/>
    <mergeCell ref="A87:B87"/>
    <mergeCell ref="A88:B88"/>
  </mergeCells>
  <printOptions/>
  <pageMargins left="0.7480314960629921" right="0.7480314960629921" top="0.984251968503937" bottom="0.984251968503937" header="0.5118110236220472" footer="0.5118110236220472"/>
  <pageSetup blackAndWhite="1" fitToHeight="2" fitToWidth="1" horizontalDpi="600" verticalDpi="600" orientation="portrait" paperSize="9" scale="47" r:id="rId3"/>
  <ignoredErrors>
    <ignoredError sqref="J88" evalError="1"/>
    <ignoredError sqref="H17:J17 G17 D4:L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Гордиенко Екатерина Александровна</cp:lastModifiedBy>
  <cp:lastPrinted>2016-03-28T06:54:58Z</cp:lastPrinted>
  <dcterms:created xsi:type="dcterms:W3CDTF">1996-10-08T23:32:33Z</dcterms:created>
  <dcterms:modified xsi:type="dcterms:W3CDTF">2016-04-25T07:39:28Z</dcterms:modified>
  <cp:category/>
  <cp:version/>
  <cp:contentType/>
  <cp:contentStatus/>
</cp:coreProperties>
</file>